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drawings/drawing4.xml" ContentType="application/vnd.openxmlformats-officedocument.drawingml.chartshap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5" windowWidth="18975" windowHeight="8610" activeTab="4"/>
  </bookViews>
  <sheets>
    <sheet name="汽車vs機車" sheetId="1" r:id="rId1"/>
    <sheet name="機車加油記錄" sheetId="2" r:id="rId2"/>
    <sheet name="機車油耗趨勢" sheetId="4" r:id="rId3"/>
    <sheet name="汽車加油記錄" sheetId="5" r:id="rId4"/>
    <sheet name="汽車油耗趨勢" sheetId="11" r:id="rId5"/>
  </sheets>
  <calcPr calcId="125725"/>
</workbook>
</file>

<file path=xl/calcChain.xml><?xml version="1.0" encoding="utf-8"?>
<calcChain xmlns="http://schemas.openxmlformats.org/spreadsheetml/2006/main">
  <c r="C11" i="5"/>
  <c r="D11"/>
  <c r="D12"/>
  <c r="D14" s="1"/>
  <c r="D15" s="1"/>
  <c r="D16" s="1"/>
  <c r="D17" s="1"/>
  <c r="D18" s="1"/>
  <c r="D10"/>
  <c r="D18" i="2"/>
  <c r="D19"/>
  <c r="D20" s="1"/>
  <c r="D21" s="1"/>
  <c r="D22" s="1"/>
  <c r="D23" s="1"/>
  <c r="D24" s="1"/>
  <c r="D25" s="1"/>
  <c r="D26" s="1"/>
  <c r="D27" s="1"/>
  <c r="D28" s="1"/>
  <c r="D29" s="1"/>
  <c r="D30" s="1"/>
  <c r="D17"/>
  <c r="J16"/>
  <c r="J12"/>
  <c r="J7"/>
  <c r="J9"/>
  <c r="J9" i="5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7"/>
  <c r="G8" i="2"/>
  <c r="F7" i="5"/>
  <c r="G9" i="2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7"/>
  <c r="F7"/>
  <c r="F8" i="5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N94" i="2"/>
  <c r="N95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N136"/>
  <c r="N137"/>
  <c r="N138"/>
  <c r="F100" i="5"/>
  <c r="F101"/>
  <c r="F102"/>
  <c r="F103"/>
  <c r="F104"/>
  <c r="F105"/>
  <c r="F106"/>
  <c r="F107"/>
  <c r="F108"/>
  <c r="F109"/>
  <c r="F110"/>
  <c r="F111"/>
  <c r="I97" i="2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N112" i="5"/>
  <c r="I112"/>
  <c r="H112"/>
  <c r="F112"/>
  <c r="N111"/>
  <c r="I111"/>
  <c r="H111"/>
  <c r="N110"/>
  <c r="I110"/>
  <c r="H110"/>
  <c r="N109"/>
  <c r="I109"/>
  <c r="H109"/>
  <c r="N108"/>
  <c r="I108"/>
  <c r="H108"/>
  <c r="N107"/>
  <c r="I107"/>
  <c r="H107"/>
  <c r="N106"/>
  <c r="I106"/>
  <c r="H106"/>
  <c r="N105"/>
  <c r="I105"/>
  <c r="H105"/>
  <c r="N104"/>
  <c r="I104"/>
  <c r="H104"/>
  <c r="N103"/>
  <c r="I103"/>
  <c r="H103"/>
  <c r="N102"/>
  <c r="I102"/>
  <c r="H102"/>
  <c r="N101"/>
  <c r="I101"/>
  <c r="H101"/>
  <c r="N100"/>
  <c r="I100"/>
  <c r="H100"/>
  <c r="N99"/>
  <c r="I99"/>
  <c r="H99"/>
  <c r="N98"/>
  <c r="I98"/>
  <c r="H98"/>
  <c r="N97"/>
  <c r="I97"/>
  <c r="H97"/>
  <c r="N96"/>
  <c r="I96"/>
  <c r="H96"/>
  <c r="N95"/>
  <c r="I95"/>
  <c r="H95"/>
  <c r="N94"/>
  <c r="I94"/>
  <c r="H94"/>
  <c r="N93"/>
  <c r="I93"/>
  <c r="H93"/>
  <c r="N92"/>
  <c r="I92"/>
  <c r="H92"/>
  <c r="N91"/>
  <c r="I91"/>
  <c r="H91"/>
  <c r="N90"/>
  <c r="I90"/>
  <c r="H90"/>
  <c r="N89"/>
  <c r="I89"/>
  <c r="H89"/>
  <c r="N88"/>
  <c r="I88"/>
  <c r="H88"/>
  <c r="N87"/>
  <c r="I87"/>
  <c r="H87"/>
  <c r="N86"/>
  <c r="I86"/>
  <c r="H86"/>
  <c r="N85"/>
  <c r="I85"/>
  <c r="H85"/>
  <c r="N84"/>
  <c r="I84"/>
  <c r="H84"/>
  <c r="N83"/>
  <c r="I83"/>
  <c r="H83"/>
  <c r="N82"/>
  <c r="I82"/>
  <c r="H82"/>
  <c r="N81"/>
  <c r="I81"/>
  <c r="H81"/>
  <c r="N80"/>
  <c r="I80"/>
  <c r="H80"/>
  <c r="N79"/>
  <c r="I79"/>
  <c r="H79"/>
  <c r="N78"/>
  <c r="I78"/>
  <c r="H78"/>
  <c r="N77"/>
  <c r="I77"/>
  <c r="H77"/>
  <c r="N76"/>
  <c r="I76"/>
  <c r="H76"/>
  <c r="N75"/>
  <c r="I75"/>
  <c r="H75"/>
  <c r="N74"/>
  <c r="I74"/>
  <c r="H74"/>
  <c r="N73"/>
  <c r="I73"/>
  <c r="H73"/>
  <c r="N72"/>
  <c r="I72"/>
  <c r="H72"/>
  <c r="N71"/>
  <c r="I71"/>
  <c r="H71"/>
  <c r="N70"/>
  <c r="I70"/>
  <c r="H70"/>
  <c r="N69"/>
  <c r="I69"/>
  <c r="H69"/>
  <c r="N68"/>
  <c r="I68"/>
  <c r="H68"/>
  <c r="N67"/>
  <c r="I67"/>
  <c r="H67"/>
  <c r="N66"/>
  <c r="I66"/>
  <c r="H66"/>
  <c r="N65"/>
  <c r="I65"/>
  <c r="H65"/>
  <c r="N64"/>
  <c r="I64"/>
  <c r="H64"/>
  <c r="N63"/>
  <c r="I63"/>
  <c r="H63"/>
  <c r="N62"/>
  <c r="I62"/>
  <c r="H62"/>
  <c r="N61"/>
  <c r="I61"/>
  <c r="H61"/>
  <c r="N60"/>
  <c r="I60"/>
  <c r="H60"/>
  <c r="N59"/>
  <c r="I59"/>
  <c r="H59"/>
  <c r="N58"/>
  <c r="I58"/>
  <c r="H58"/>
  <c r="N57"/>
  <c r="I57"/>
  <c r="H57"/>
  <c r="N56"/>
  <c r="I56"/>
  <c r="H56"/>
  <c r="N55"/>
  <c r="I55"/>
  <c r="H55"/>
  <c r="N54"/>
  <c r="I54"/>
  <c r="H54"/>
  <c r="N53"/>
  <c r="I53"/>
  <c r="H53"/>
  <c r="N52"/>
  <c r="I52"/>
  <c r="H52"/>
  <c r="N51"/>
  <c r="I51"/>
  <c r="H51"/>
  <c r="N50"/>
  <c r="I50"/>
  <c r="H50"/>
  <c r="N49"/>
  <c r="I49"/>
  <c r="H49"/>
  <c r="N48"/>
  <c r="I48"/>
  <c r="H48"/>
  <c r="N47"/>
  <c r="I47"/>
  <c r="H47"/>
  <c r="N46"/>
  <c r="I46"/>
  <c r="H46"/>
  <c r="N45"/>
  <c r="I45"/>
  <c r="H45"/>
  <c r="N44"/>
  <c r="I44"/>
  <c r="H44"/>
  <c r="N43"/>
  <c r="I43"/>
  <c r="H43"/>
  <c r="N42"/>
  <c r="I42"/>
  <c r="H42"/>
  <c r="N41"/>
  <c r="I41"/>
  <c r="H41"/>
  <c r="N40"/>
  <c r="I40"/>
  <c r="H40"/>
  <c r="N39"/>
  <c r="I39"/>
  <c r="H39"/>
  <c r="N38"/>
  <c r="I38"/>
  <c r="H38"/>
  <c r="N37"/>
  <c r="I37"/>
  <c r="H37"/>
  <c r="N36"/>
  <c r="I36"/>
  <c r="H36"/>
  <c r="N35"/>
  <c r="I35"/>
  <c r="H35"/>
  <c r="N34"/>
  <c r="I34"/>
  <c r="H34"/>
  <c r="N33"/>
  <c r="I33"/>
  <c r="H33"/>
  <c r="N32"/>
  <c r="I32"/>
  <c r="H32"/>
  <c r="N31"/>
  <c r="I31"/>
  <c r="H31"/>
  <c r="N30"/>
  <c r="I30"/>
  <c r="H30"/>
  <c r="N29"/>
  <c r="I29"/>
  <c r="H29"/>
  <c r="N28"/>
  <c r="I28"/>
  <c r="H28"/>
  <c r="N27"/>
  <c r="I27"/>
  <c r="H27"/>
  <c r="N26"/>
  <c r="I26"/>
  <c r="H26"/>
  <c r="N25"/>
  <c r="I25"/>
  <c r="H25"/>
  <c r="N24"/>
  <c r="I24"/>
  <c r="H24"/>
  <c r="N23"/>
  <c r="I23"/>
  <c r="H23"/>
  <c r="N22"/>
  <c r="I22"/>
  <c r="H22"/>
  <c r="N21"/>
  <c r="I21"/>
  <c r="H21"/>
  <c r="D19" l="1"/>
  <c r="H18"/>
  <c r="C10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Q21" i="1"/>
  <c r="C112" i="5"/>
  <c r="H19" i="1" s="1"/>
  <c r="H17" i="5"/>
  <c r="I17" s="1"/>
  <c r="H16"/>
  <c r="I16" s="1"/>
  <c r="H15"/>
  <c r="I15" s="1"/>
  <c r="H14"/>
  <c r="H13"/>
  <c r="I12"/>
  <c r="H12"/>
  <c r="H11"/>
  <c r="D20" l="1"/>
  <c r="H19"/>
  <c r="P21" i="1"/>
  <c r="O21"/>
  <c r="N21"/>
  <c r="M21"/>
  <c r="L21"/>
  <c r="K21"/>
  <c r="J21"/>
  <c r="I21"/>
  <c r="H21"/>
  <c r="G21"/>
  <c r="F21"/>
  <c r="N20"/>
  <c r="J20"/>
  <c r="F20"/>
  <c r="N19"/>
  <c r="J19"/>
  <c r="F19"/>
  <c r="Q24"/>
  <c r="P24"/>
  <c r="O24"/>
  <c r="N24"/>
  <c r="M24"/>
  <c r="L24"/>
  <c r="K24"/>
  <c r="J24"/>
  <c r="I24"/>
  <c r="H24"/>
  <c r="G24"/>
  <c r="F24"/>
  <c r="Q20"/>
  <c r="M20"/>
  <c r="I20"/>
  <c r="Q19"/>
  <c r="M19"/>
  <c r="I19"/>
  <c r="Q23"/>
  <c r="P23"/>
  <c r="O23"/>
  <c r="N23"/>
  <c r="M23"/>
  <c r="L23"/>
  <c r="K23"/>
  <c r="J23"/>
  <c r="I23"/>
  <c r="H23"/>
  <c r="G23"/>
  <c r="F23"/>
  <c r="P20"/>
  <c r="L20"/>
  <c r="H20"/>
  <c r="P19"/>
  <c r="L19"/>
  <c r="Q22"/>
  <c r="P22"/>
  <c r="O22"/>
  <c r="N22"/>
  <c r="M22"/>
  <c r="L22"/>
  <c r="K22"/>
  <c r="J22"/>
  <c r="I22"/>
  <c r="H22"/>
  <c r="G22"/>
  <c r="F22"/>
  <c r="O20"/>
  <c r="K20"/>
  <c r="G20"/>
  <c r="O19"/>
  <c r="K19"/>
  <c r="G19"/>
  <c r="E3" i="5"/>
  <c r="A3"/>
  <c r="N135" i="2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H96"/>
  <c r="N96" s="1"/>
  <c r="N93"/>
  <c r="I93"/>
  <c r="H93"/>
  <c r="N92"/>
  <c r="I92"/>
  <c r="H92"/>
  <c r="N91"/>
  <c r="I91"/>
  <c r="H91"/>
  <c r="N90"/>
  <c r="I90"/>
  <c r="H90"/>
  <c r="N89"/>
  <c r="I89"/>
  <c r="H89"/>
  <c r="N88"/>
  <c r="I88"/>
  <c r="H88"/>
  <c r="N87"/>
  <c r="I87"/>
  <c r="H87"/>
  <c r="N86"/>
  <c r="I86"/>
  <c r="H86"/>
  <c r="N85"/>
  <c r="I85"/>
  <c r="H85"/>
  <c r="N84"/>
  <c r="I84"/>
  <c r="H84"/>
  <c r="N83"/>
  <c r="I83"/>
  <c r="H83"/>
  <c r="N82"/>
  <c r="I82"/>
  <c r="H82"/>
  <c r="N81"/>
  <c r="I81"/>
  <c r="H81"/>
  <c r="N80"/>
  <c r="I80"/>
  <c r="H80"/>
  <c r="N79"/>
  <c r="I79"/>
  <c r="H79"/>
  <c r="N78"/>
  <c r="I78"/>
  <c r="H78"/>
  <c r="I19" i="5" l="1"/>
  <c r="N11"/>
  <c r="N20"/>
  <c r="H20"/>
  <c r="N15" s="1"/>
  <c r="N18"/>
  <c r="H9"/>
  <c r="H8"/>
  <c r="R19" i="1"/>
  <c r="I96" i="2"/>
  <c r="N12" i="5" l="1"/>
  <c r="N19"/>
  <c r="N17"/>
  <c r="I20"/>
  <c r="N16"/>
  <c r="N13"/>
  <c r="N14"/>
  <c r="I8"/>
  <c r="I9"/>
  <c r="A3" i="2"/>
  <c r="H8" s="1"/>
  <c r="G7" i="1" l="1"/>
  <c r="C10" i="2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H12" i="1"/>
  <c r="Q12"/>
  <c r="Q10"/>
  <c r="P12"/>
  <c r="P10"/>
  <c r="O12"/>
  <c r="O10"/>
  <c r="N12"/>
  <c r="N10"/>
  <c r="M12"/>
  <c r="M10"/>
  <c r="L12"/>
  <c r="L10"/>
  <c r="K12"/>
  <c r="K10"/>
  <c r="J12"/>
  <c r="J10"/>
  <c r="I12"/>
  <c r="I10"/>
  <c r="H10"/>
  <c r="G11"/>
  <c r="G9"/>
  <c r="F11"/>
  <c r="F9"/>
  <c r="Q8"/>
  <c r="O8"/>
  <c r="L8"/>
  <c r="J8"/>
  <c r="H8"/>
  <c r="F8"/>
  <c r="P7"/>
  <c r="N7"/>
  <c r="L7"/>
  <c r="J7"/>
  <c r="H7"/>
  <c r="F7"/>
  <c r="H95" i="2"/>
  <c r="H77"/>
  <c r="H76"/>
  <c r="H75"/>
  <c r="H74"/>
  <c r="H72"/>
  <c r="H70"/>
  <c r="H67"/>
  <c r="H73"/>
  <c r="H71"/>
  <c r="H69"/>
  <c r="H68"/>
  <c r="H66"/>
  <c r="H65"/>
  <c r="H63"/>
  <c r="H62"/>
  <c r="H64"/>
  <c r="H10"/>
  <c r="H11"/>
  <c r="H14"/>
  <c r="H16"/>
  <c r="H17"/>
  <c r="H19"/>
  <c r="H22"/>
  <c r="H24"/>
  <c r="I24" s="1"/>
  <c r="H26"/>
  <c r="H28"/>
  <c r="I28" s="1"/>
  <c r="H30"/>
  <c r="I30" s="1"/>
  <c r="H32"/>
  <c r="I32" s="1"/>
  <c r="H34"/>
  <c r="H36"/>
  <c r="I36" s="1"/>
  <c r="H37"/>
  <c r="I37" s="1"/>
  <c r="H38"/>
  <c r="I38" s="1"/>
  <c r="H39"/>
  <c r="I39" s="1"/>
  <c r="H42"/>
  <c r="H43"/>
  <c r="H47"/>
  <c r="H49"/>
  <c r="H50"/>
  <c r="H53"/>
  <c r="I53" s="1"/>
  <c r="H55"/>
  <c r="H56"/>
  <c r="H61"/>
  <c r="H9"/>
  <c r="I10"/>
  <c r="H12"/>
  <c r="H13"/>
  <c r="H15"/>
  <c r="H18"/>
  <c r="H20"/>
  <c r="H21"/>
  <c r="H23"/>
  <c r="H25"/>
  <c r="H27"/>
  <c r="H29"/>
  <c r="I29" s="1"/>
  <c r="H31"/>
  <c r="H33"/>
  <c r="I33" s="1"/>
  <c r="H35"/>
  <c r="H40"/>
  <c r="I40" s="1"/>
  <c r="H41"/>
  <c r="I42"/>
  <c r="H44"/>
  <c r="H45"/>
  <c r="I45" s="1"/>
  <c r="H46"/>
  <c r="H48"/>
  <c r="I48" s="1"/>
  <c r="H51"/>
  <c r="I51" s="1"/>
  <c r="H52"/>
  <c r="N52" s="1"/>
  <c r="H54"/>
  <c r="I55"/>
  <c r="H57"/>
  <c r="I57" s="1"/>
  <c r="H58"/>
  <c r="I58" s="1"/>
  <c r="H59"/>
  <c r="I59" s="1"/>
  <c r="H60"/>
  <c r="N60" s="1"/>
  <c r="R23" i="1"/>
  <c r="I49" i="2"/>
  <c r="I14"/>
  <c r="I17"/>
  <c r="I23"/>
  <c r="K7" i="1" l="1"/>
  <c r="O7"/>
  <c r="G8"/>
  <c r="K8"/>
  <c r="P8"/>
  <c r="F10"/>
  <c r="G10"/>
  <c r="I9"/>
  <c r="J9"/>
  <c r="K9"/>
  <c r="L9"/>
  <c r="M9"/>
  <c r="N9"/>
  <c r="O9"/>
  <c r="P9"/>
  <c r="Q9"/>
  <c r="H11"/>
  <c r="I7"/>
  <c r="M7"/>
  <c r="Q7"/>
  <c r="I8"/>
  <c r="M8"/>
  <c r="N8"/>
  <c r="F12"/>
  <c r="H9"/>
  <c r="I11"/>
  <c r="J11"/>
  <c r="K11"/>
  <c r="L11"/>
  <c r="M11"/>
  <c r="N11"/>
  <c r="O11"/>
  <c r="P11"/>
  <c r="Q11"/>
  <c r="N51" i="2"/>
  <c r="N54"/>
  <c r="N44"/>
  <c r="N41"/>
  <c r="N31"/>
  <c r="N27"/>
  <c r="N23"/>
  <c r="N21"/>
  <c r="N18"/>
  <c r="N16"/>
  <c r="H3"/>
  <c r="I44"/>
  <c r="N42"/>
  <c r="N25"/>
  <c r="N20"/>
  <c r="N14"/>
  <c r="N11"/>
  <c r="N61"/>
  <c r="N43"/>
  <c r="N26"/>
  <c r="N22"/>
  <c r="I62"/>
  <c r="N62"/>
  <c r="I65"/>
  <c r="N65"/>
  <c r="N68"/>
  <c r="I68"/>
  <c r="I71"/>
  <c r="N71"/>
  <c r="I67"/>
  <c r="N67"/>
  <c r="I75"/>
  <c r="N75"/>
  <c r="I77"/>
  <c r="N77"/>
  <c r="I13"/>
  <c r="N49"/>
  <c r="N53"/>
  <c r="N37"/>
  <c r="N34"/>
  <c r="N30"/>
  <c r="I60"/>
  <c r="N59"/>
  <c r="N58"/>
  <c r="N48"/>
  <c r="N45"/>
  <c r="N40"/>
  <c r="N15"/>
  <c r="N10"/>
  <c r="N8"/>
  <c r="N72"/>
  <c r="I73"/>
  <c r="N73"/>
  <c r="I95"/>
  <c r="N56"/>
  <c r="N55"/>
  <c r="N50"/>
  <c r="N47"/>
  <c r="N39"/>
  <c r="N38"/>
  <c r="N36"/>
  <c r="N32"/>
  <c r="N28"/>
  <c r="N24"/>
  <c r="N19"/>
  <c r="N13"/>
  <c r="N57"/>
  <c r="N46"/>
  <c r="N35"/>
  <c r="N33"/>
  <c r="N29"/>
  <c r="N17"/>
  <c r="N12"/>
  <c r="N9"/>
  <c r="N64"/>
  <c r="N63"/>
  <c r="N66"/>
  <c r="N69"/>
  <c r="N70"/>
  <c r="N74"/>
  <c r="N76"/>
  <c r="R21" i="1"/>
  <c r="F3" i="5" s="1"/>
  <c r="R7" i="1" l="1"/>
  <c r="N3" i="2"/>
  <c r="C4" i="1" l="1"/>
  <c r="B4"/>
  <c r="I8" i="2" l="1"/>
  <c r="I9"/>
  <c r="I11"/>
  <c r="I12"/>
  <c r="I15"/>
  <c r="I16"/>
  <c r="I18"/>
  <c r="I19"/>
  <c r="I20"/>
  <c r="I21"/>
  <c r="I22"/>
  <c r="I25"/>
  <c r="I26"/>
  <c r="I27"/>
  <c r="I31"/>
  <c r="I34"/>
  <c r="I35"/>
  <c r="I41"/>
  <c r="I43"/>
  <c r="I46"/>
  <c r="I47"/>
  <c r="I50"/>
  <c r="I52"/>
  <c r="I54"/>
  <c r="I56"/>
  <c r="I61"/>
  <c r="I63"/>
  <c r="I64"/>
  <c r="I66"/>
  <c r="I69"/>
  <c r="I70"/>
  <c r="I72"/>
  <c r="I74"/>
  <c r="I76"/>
  <c r="P3"/>
  <c r="M8" s="1"/>
  <c r="C3" l="1"/>
  <c r="M117"/>
  <c r="M93"/>
  <c r="M107"/>
  <c r="M133"/>
  <c r="M64"/>
  <c r="M31"/>
  <c r="M58"/>
  <c r="M30"/>
  <c r="M127"/>
  <c r="M97"/>
  <c r="M110"/>
  <c r="M136"/>
  <c r="M68"/>
  <c r="M37"/>
  <c r="M61"/>
  <c r="M34"/>
  <c r="M137"/>
  <c r="M102"/>
  <c r="M80"/>
  <c r="M85"/>
  <c r="M118"/>
  <c r="M49"/>
  <c r="M16"/>
  <c r="M45"/>
  <c r="M13"/>
  <c r="M112"/>
  <c r="M84"/>
  <c r="M92"/>
  <c r="M121"/>
  <c r="M55"/>
  <c r="M21"/>
  <c r="M50"/>
  <c r="M19"/>
  <c r="M128"/>
  <c r="M113"/>
  <c r="M98"/>
  <c r="M86"/>
  <c r="M74"/>
  <c r="M96"/>
  <c r="M138"/>
  <c r="M122"/>
  <c r="M70"/>
  <c r="M63"/>
  <c r="M38"/>
  <c r="M23"/>
  <c r="M7"/>
  <c r="M51"/>
  <c r="M39"/>
  <c r="M22"/>
  <c r="M131"/>
  <c r="M116"/>
  <c r="M101"/>
  <c r="M91"/>
  <c r="M79"/>
  <c r="M106"/>
  <c r="M81"/>
  <c r="M132"/>
  <c r="M71"/>
  <c r="M62"/>
  <c r="M46"/>
  <c r="M29"/>
  <c r="M14"/>
  <c r="M57"/>
  <c r="M44"/>
  <c r="M28"/>
  <c r="M11"/>
  <c r="O3"/>
  <c r="L7" s="1"/>
  <c r="D3"/>
  <c r="J3"/>
  <c r="M130"/>
  <c r="M126"/>
  <c r="M115"/>
  <c r="M111"/>
  <c r="M100"/>
  <c r="M95"/>
  <c r="M89"/>
  <c r="M83"/>
  <c r="M78"/>
  <c r="M109"/>
  <c r="M105"/>
  <c r="M90"/>
  <c r="M77"/>
  <c r="M135"/>
  <c r="M124"/>
  <c r="M120"/>
  <c r="M73"/>
  <c r="M67"/>
  <c r="M69"/>
  <c r="M54"/>
  <c r="M42"/>
  <c r="M36"/>
  <c r="M27"/>
  <c r="M20"/>
  <c r="M12"/>
  <c r="M60"/>
  <c r="M56"/>
  <c r="M48"/>
  <c r="M43"/>
  <c r="M33"/>
  <c r="M26"/>
  <c r="M17"/>
  <c r="M9"/>
  <c r="M129"/>
  <c r="M125"/>
  <c r="M114"/>
  <c r="M103"/>
  <c r="M99"/>
  <c r="M94"/>
  <c r="M88"/>
  <c r="M82"/>
  <c r="M75"/>
  <c r="M108"/>
  <c r="M104"/>
  <c r="M87"/>
  <c r="M76"/>
  <c r="M134"/>
  <c r="M123"/>
  <c r="M119"/>
  <c r="M72"/>
  <c r="M65"/>
  <c r="M66"/>
  <c r="M52"/>
  <c r="M41"/>
  <c r="M35"/>
  <c r="M25"/>
  <c r="M18"/>
  <c r="M10"/>
  <c r="M59"/>
  <c r="M53"/>
  <c r="M47"/>
  <c r="M40"/>
  <c r="M32"/>
  <c r="M24"/>
  <c r="M15"/>
  <c r="L107" l="1"/>
  <c r="L86"/>
  <c r="L58"/>
  <c r="L46"/>
  <c r="L110"/>
  <c r="L91"/>
  <c r="L61"/>
  <c r="L54"/>
  <c r="L120"/>
  <c r="L95"/>
  <c r="L65"/>
  <c r="L9"/>
  <c r="L123"/>
  <c r="L99"/>
  <c r="L70"/>
  <c r="L15"/>
  <c r="L138"/>
  <c r="L113"/>
  <c r="L125"/>
  <c r="L30"/>
  <c r="L14"/>
  <c r="L116"/>
  <c r="L128"/>
  <c r="L34"/>
  <c r="L20"/>
  <c r="L77"/>
  <c r="L131"/>
  <c r="L43"/>
  <c r="L25"/>
  <c r="L87"/>
  <c r="L75"/>
  <c r="L47"/>
  <c r="L31"/>
  <c r="L122"/>
  <c r="L85"/>
  <c r="L98"/>
  <c r="L74"/>
  <c r="L68"/>
  <c r="L45"/>
  <c r="L13"/>
  <c r="L29"/>
  <c r="L132"/>
  <c r="L92"/>
  <c r="L101"/>
  <c r="L79"/>
  <c r="L66"/>
  <c r="L50"/>
  <c r="L19"/>
  <c r="L36"/>
  <c r="L135"/>
  <c r="L105"/>
  <c r="L111"/>
  <c r="L83"/>
  <c r="L72"/>
  <c r="L56"/>
  <c r="L26"/>
  <c r="L41"/>
  <c r="L10"/>
  <c r="L108"/>
  <c r="L114"/>
  <c r="L88"/>
  <c r="L126"/>
  <c r="L59"/>
  <c r="L32"/>
  <c r="L49"/>
  <c r="L16"/>
  <c r="L133"/>
  <c r="L118"/>
  <c r="L96"/>
  <c r="L117"/>
  <c r="L102"/>
  <c r="L93"/>
  <c r="L80"/>
  <c r="L129"/>
  <c r="L69"/>
  <c r="L62"/>
  <c r="L51"/>
  <c r="L39"/>
  <c r="L22"/>
  <c r="L55"/>
  <c r="L37"/>
  <c r="L21"/>
  <c r="L136"/>
  <c r="L121"/>
  <c r="L106"/>
  <c r="L81"/>
  <c r="L112"/>
  <c r="L97"/>
  <c r="L84"/>
  <c r="L137"/>
  <c r="L73"/>
  <c r="L67"/>
  <c r="L57"/>
  <c r="L44"/>
  <c r="L28"/>
  <c r="L11"/>
  <c r="L42"/>
  <c r="L27"/>
  <c r="L12"/>
  <c r="L124"/>
  <c r="L109"/>
  <c r="L90"/>
  <c r="L115"/>
  <c r="L100"/>
  <c r="L89"/>
  <c r="L78"/>
  <c r="L127"/>
  <c r="L63"/>
  <c r="L60"/>
  <c r="L48"/>
  <c r="L33"/>
  <c r="L17"/>
  <c r="L52"/>
  <c r="L35"/>
  <c r="L18"/>
  <c r="L134"/>
  <c r="L119"/>
  <c r="L104"/>
  <c r="L76"/>
  <c r="L103"/>
  <c r="L94"/>
  <c r="L82"/>
  <c r="L130"/>
  <c r="L71"/>
  <c r="L64"/>
  <c r="L53"/>
  <c r="L40"/>
  <c r="L24"/>
  <c r="L8"/>
  <c r="L38"/>
  <c r="L23"/>
  <c r="K8"/>
  <c r="K15"/>
  <c r="K24"/>
  <c r="K32"/>
  <c r="K40"/>
  <c r="K47"/>
  <c r="K53"/>
  <c r="K59"/>
  <c r="K10"/>
  <c r="K18"/>
  <c r="K25"/>
  <c r="K35"/>
  <c r="K41"/>
  <c r="K52"/>
  <c r="K66"/>
  <c r="K65"/>
  <c r="K72"/>
  <c r="K119"/>
  <c r="K123"/>
  <c r="K134"/>
  <c r="K76"/>
  <c r="K87"/>
  <c r="K104"/>
  <c r="K108"/>
  <c r="K75"/>
  <c r="K82"/>
  <c r="K88"/>
  <c r="K94"/>
  <c r="K99"/>
  <c r="K103"/>
  <c r="K114"/>
  <c r="K125"/>
  <c r="K129"/>
  <c r="K9"/>
  <c r="K17"/>
  <c r="K26"/>
  <c r="K33"/>
  <c r="K43"/>
  <c r="K48"/>
  <c r="K56"/>
  <c r="K60"/>
  <c r="K12"/>
  <c r="K20"/>
  <c r="K27"/>
  <c r="K36"/>
  <c r="K42"/>
  <c r="K54"/>
  <c r="K69"/>
  <c r="K67"/>
  <c r="K73"/>
  <c r="K120"/>
  <c r="K124"/>
  <c r="K135"/>
  <c r="K77"/>
  <c r="K90"/>
  <c r="K105"/>
  <c r="K109"/>
  <c r="K78"/>
  <c r="K83"/>
  <c r="K89"/>
  <c r="K95"/>
  <c r="K100"/>
  <c r="K111"/>
  <c r="K115"/>
  <c r="K126"/>
  <c r="K130"/>
  <c r="K11"/>
  <c r="K19"/>
  <c r="K28"/>
  <c r="K34"/>
  <c r="K44"/>
  <c r="K50"/>
  <c r="K57"/>
  <c r="K61"/>
  <c r="K14"/>
  <c r="K21"/>
  <c r="K29"/>
  <c r="K37"/>
  <c r="K46"/>
  <c r="K55"/>
  <c r="K62"/>
  <c r="K68"/>
  <c r="K71"/>
  <c r="K121"/>
  <c r="K132"/>
  <c r="K136"/>
  <c r="K81"/>
  <c r="K92"/>
  <c r="K106"/>
  <c r="K110"/>
  <c r="K79"/>
  <c r="K84"/>
  <c r="K91"/>
  <c r="K97"/>
  <c r="K101"/>
  <c r="K112"/>
  <c r="K116"/>
  <c r="K127"/>
  <c r="K131"/>
  <c r="K13"/>
  <c r="K22"/>
  <c r="K30"/>
  <c r="K39"/>
  <c r="K45"/>
  <c r="K51"/>
  <c r="K58"/>
  <c r="K7"/>
  <c r="K16"/>
  <c r="K23"/>
  <c r="K31"/>
  <c r="K38"/>
  <c r="K49"/>
  <c r="K63"/>
  <c r="K64"/>
  <c r="K70"/>
  <c r="K118"/>
  <c r="K122"/>
  <c r="K133"/>
  <c r="K138"/>
  <c r="K85"/>
  <c r="K96"/>
  <c r="K107"/>
  <c r="K74"/>
  <c r="K80"/>
  <c r="K86"/>
  <c r="K93"/>
  <c r="K98"/>
  <c r="K102"/>
  <c r="K113"/>
  <c r="K117"/>
  <c r="K128"/>
  <c r="K137"/>
  <c r="G12" i="1" l="1"/>
  <c r="R9" l="1"/>
  <c r="R11"/>
  <c r="F3" i="2"/>
  <c r="E3" l="1"/>
  <c r="I3" s="1"/>
  <c r="C3" i="1" s="1"/>
  <c r="C5" s="1"/>
  <c r="C7" l="1"/>
  <c r="I11" i="5"/>
  <c r="I13"/>
  <c r="I14"/>
  <c r="I18"/>
  <c r="H10" l="1"/>
  <c r="I10"/>
  <c r="P3" s="1"/>
  <c r="O3"/>
  <c r="L134" s="1"/>
  <c r="J3"/>
  <c r="K123" s="1"/>
  <c r="K11"/>
  <c r="K24"/>
  <c r="K25"/>
  <c r="K18"/>
  <c r="K40"/>
  <c r="K33"/>
  <c r="K26"/>
  <c r="D3"/>
  <c r="C3"/>
  <c r="H3"/>
  <c r="I3" s="1"/>
  <c r="B3" i="1" s="1"/>
  <c r="B5" s="1"/>
  <c r="N8" i="5"/>
  <c r="N9"/>
  <c r="N10"/>
  <c r="K89" l="1"/>
  <c r="K98"/>
  <c r="K47"/>
  <c r="K82"/>
  <c r="K90"/>
  <c r="K31"/>
  <c r="K38"/>
  <c r="K70"/>
  <c r="K101"/>
  <c r="K134"/>
  <c r="K45"/>
  <c r="K77"/>
  <c r="K110"/>
  <c r="K7"/>
  <c r="K64"/>
  <c r="K128"/>
  <c r="K71"/>
  <c r="K10"/>
  <c r="K44"/>
  <c r="K107"/>
  <c r="K51"/>
  <c r="K115"/>
  <c r="K36"/>
  <c r="K99"/>
  <c r="K43"/>
  <c r="K108"/>
  <c r="K42"/>
  <c r="K105"/>
  <c r="K49"/>
  <c r="K113"/>
  <c r="K72"/>
  <c r="K79"/>
  <c r="K34"/>
  <c r="K97"/>
  <c r="K41"/>
  <c r="K106"/>
  <c r="K56"/>
  <c r="K127"/>
  <c r="K62"/>
  <c r="K126"/>
  <c r="K69"/>
  <c r="K133"/>
  <c r="K111"/>
  <c r="K8"/>
  <c r="L71"/>
  <c r="L16"/>
  <c r="L77"/>
  <c r="L20"/>
  <c r="L84"/>
  <c r="L15"/>
  <c r="L135"/>
  <c r="L138"/>
  <c r="L47"/>
  <c r="L8"/>
  <c r="L65"/>
  <c r="L129"/>
  <c r="L72"/>
  <c r="L136"/>
  <c r="L115"/>
  <c r="L114"/>
  <c r="K135"/>
  <c r="K58"/>
  <c r="K122"/>
  <c r="K65"/>
  <c r="K129"/>
  <c r="K103"/>
  <c r="K112"/>
  <c r="K50"/>
  <c r="K114"/>
  <c r="K57"/>
  <c r="K121"/>
  <c r="K88"/>
  <c r="K96"/>
  <c r="K22"/>
  <c r="K54"/>
  <c r="K86"/>
  <c r="K118"/>
  <c r="K29"/>
  <c r="K61"/>
  <c r="K94"/>
  <c r="K125"/>
  <c r="K32"/>
  <c r="K95"/>
  <c r="K39"/>
  <c r="K104"/>
  <c r="K15"/>
  <c r="K76"/>
  <c r="K19"/>
  <c r="K83"/>
  <c r="K13"/>
  <c r="K68"/>
  <c r="K132"/>
  <c r="K75"/>
  <c r="K14"/>
  <c r="K74"/>
  <c r="K138"/>
  <c r="K81"/>
  <c r="K12"/>
  <c r="K136"/>
  <c r="K9"/>
  <c r="K66"/>
  <c r="K130"/>
  <c r="K73"/>
  <c r="K137"/>
  <c r="K120"/>
  <c r="K30"/>
  <c r="K93"/>
  <c r="K37"/>
  <c r="K102"/>
  <c r="K48"/>
  <c r="K55"/>
  <c r="K131"/>
  <c r="L12"/>
  <c r="L18"/>
  <c r="L45"/>
  <c r="L110"/>
  <c r="L52"/>
  <c r="L116"/>
  <c r="L75"/>
  <c r="L74"/>
  <c r="L109"/>
  <c r="L112"/>
  <c r="L33"/>
  <c r="L98"/>
  <c r="L40"/>
  <c r="L103"/>
  <c r="L51"/>
  <c r="L50"/>
  <c r="L86"/>
  <c r="K63"/>
  <c r="K16"/>
  <c r="K46"/>
  <c r="K78"/>
  <c r="K109"/>
  <c r="K21"/>
  <c r="K53"/>
  <c r="K85"/>
  <c r="K117"/>
  <c r="K17"/>
  <c r="K80"/>
  <c r="K23"/>
  <c r="K87"/>
  <c r="K124"/>
  <c r="K116"/>
  <c r="K119"/>
  <c r="K60"/>
  <c r="K67"/>
  <c r="K52"/>
  <c r="K59"/>
  <c r="K28"/>
  <c r="K91"/>
  <c r="K35"/>
  <c r="K100"/>
  <c r="K20"/>
  <c r="K84"/>
  <c r="K27"/>
  <c r="K92"/>
  <c r="M113"/>
  <c r="M65"/>
  <c r="M21"/>
  <c r="M82"/>
  <c r="M22"/>
  <c r="M119"/>
  <c r="M87"/>
  <c r="M55"/>
  <c r="M31"/>
  <c r="M103"/>
  <c r="M117"/>
  <c r="M90"/>
  <c r="M57"/>
  <c r="M25"/>
  <c r="M118"/>
  <c r="M89"/>
  <c r="M58"/>
  <c r="M30"/>
  <c r="M131"/>
  <c r="M115"/>
  <c r="M100"/>
  <c r="M83"/>
  <c r="M67"/>
  <c r="M51"/>
  <c r="M35"/>
  <c r="M19"/>
  <c r="M124"/>
  <c r="M107"/>
  <c r="M91"/>
  <c r="M76"/>
  <c r="M60"/>
  <c r="M44"/>
  <c r="M28"/>
  <c r="M15"/>
  <c r="M10"/>
  <c r="M110"/>
  <c r="M77"/>
  <c r="M45"/>
  <c r="M130"/>
  <c r="M93"/>
  <c r="M62"/>
  <c r="M26"/>
  <c r="M11"/>
  <c r="M81"/>
  <c r="M126"/>
  <c r="M66"/>
  <c r="M135"/>
  <c r="M96"/>
  <c r="M63"/>
  <c r="M23"/>
  <c r="M120"/>
  <c r="M95"/>
  <c r="M80"/>
  <c r="M64"/>
  <c r="M48"/>
  <c r="M32"/>
  <c r="M17"/>
  <c r="M9"/>
  <c r="M121"/>
  <c r="M85"/>
  <c r="M53"/>
  <c r="M138"/>
  <c r="M101"/>
  <c r="M70"/>
  <c r="M34"/>
  <c r="M14"/>
  <c r="M98"/>
  <c r="M49"/>
  <c r="M114"/>
  <c r="M50"/>
  <c r="M127"/>
  <c r="M104"/>
  <c r="M71"/>
  <c r="M39"/>
  <c r="M128"/>
  <c r="M133"/>
  <c r="M106"/>
  <c r="M73"/>
  <c r="M41"/>
  <c r="M134"/>
  <c r="M105"/>
  <c r="M74"/>
  <c r="M46"/>
  <c r="M7"/>
  <c r="M123"/>
  <c r="M108"/>
  <c r="M92"/>
  <c r="M75"/>
  <c r="M59"/>
  <c r="M43"/>
  <c r="M27"/>
  <c r="M132"/>
  <c r="M116"/>
  <c r="M99"/>
  <c r="M84"/>
  <c r="M68"/>
  <c r="M52"/>
  <c r="M36"/>
  <c r="M20"/>
  <c r="M8"/>
  <c r="M129"/>
  <c r="M94"/>
  <c r="M61"/>
  <c r="M29"/>
  <c r="M109"/>
  <c r="M78"/>
  <c r="M42"/>
  <c r="M16"/>
  <c r="M125"/>
  <c r="M33"/>
  <c r="M97"/>
  <c r="M38"/>
  <c r="M112"/>
  <c r="M79"/>
  <c r="M47"/>
  <c r="M136"/>
  <c r="M111"/>
  <c r="M88"/>
  <c r="M72"/>
  <c r="M56"/>
  <c r="M40"/>
  <c r="M24"/>
  <c r="M12"/>
  <c r="M137"/>
  <c r="M102"/>
  <c r="M69"/>
  <c r="M37"/>
  <c r="M122"/>
  <c r="M86"/>
  <c r="M54"/>
  <c r="M18"/>
  <c r="M13"/>
  <c r="N3"/>
  <c r="L39"/>
  <c r="L104"/>
  <c r="L7"/>
  <c r="L29"/>
  <c r="L61"/>
  <c r="L94"/>
  <c r="L125"/>
  <c r="L36"/>
  <c r="L68"/>
  <c r="L99"/>
  <c r="L132"/>
  <c r="L43"/>
  <c r="L108"/>
  <c r="L54"/>
  <c r="L105"/>
  <c r="L78"/>
  <c r="L17"/>
  <c r="L79"/>
  <c r="L26"/>
  <c r="L13"/>
  <c r="L49"/>
  <c r="L81"/>
  <c r="L113"/>
  <c r="L24"/>
  <c r="L56"/>
  <c r="L88"/>
  <c r="L120"/>
  <c r="L19"/>
  <c r="L83"/>
  <c r="L22"/>
  <c r="L82"/>
  <c r="L46"/>
  <c r="L118"/>
  <c r="C6" i="1"/>
  <c r="C8" s="1"/>
  <c r="C9" s="1"/>
  <c r="B7"/>
  <c r="L23" i="5"/>
  <c r="L55"/>
  <c r="L87"/>
  <c r="L123"/>
  <c r="L34"/>
  <c r="L11"/>
  <c r="L21"/>
  <c r="L37"/>
  <c r="L53"/>
  <c r="L69"/>
  <c r="L85"/>
  <c r="L102"/>
  <c r="L117"/>
  <c r="L133"/>
  <c r="L28"/>
  <c r="L44"/>
  <c r="L60"/>
  <c r="L76"/>
  <c r="L91"/>
  <c r="L107"/>
  <c r="L124"/>
  <c r="L9"/>
  <c r="L27"/>
  <c r="L59"/>
  <c r="L92"/>
  <c r="L119"/>
  <c r="L30"/>
  <c r="L58"/>
  <c r="L89"/>
  <c r="L122"/>
  <c r="L62"/>
  <c r="L93"/>
  <c r="L126"/>
  <c r="L31"/>
  <c r="L63"/>
  <c r="L96"/>
  <c r="L131"/>
  <c r="L42"/>
  <c r="L14"/>
  <c r="L25"/>
  <c r="L41"/>
  <c r="L57"/>
  <c r="L73"/>
  <c r="L90"/>
  <c r="L106"/>
  <c r="L121"/>
  <c r="L137"/>
  <c r="L32"/>
  <c r="L48"/>
  <c r="L64"/>
  <c r="L80"/>
  <c r="L95"/>
  <c r="L111"/>
  <c r="L128"/>
  <c r="L10"/>
  <c r="L35"/>
  <c r="L67"/>
  <c r="L100"/>
  <c r="L127"/>
  <c r="L38"/>
  <c r="L66"/>
  <c r="L97"/>
  <c r="L130"/>
  <c r="L70"/>
  <c r="L101"/>
</calcChain>
</file>

<file path=xl/comments1.xml><?xml version="1.0" encoding="utf-8"?>
<comments xmlns="http://schemas.openxmlformats.org/spreadsheetml/2006/main">
  <authors>
    <author>Jeric Chen</author>
  </authors>
  <commentList>
    <comment ref="B2" authorId="0">
      <text>
        <r>
          <rPr>
            <b/>
            <sz val="9"/>
            <color indexed="81"/>
            <rFont val="細明體"/>
            <family val="3"/>
            <charset val="136"/>
          </rPr>
          <t>可填上汽車資訊</t>
        </r>
      </text>
    </comment>
    <comment ref="C2" authorId="0">
      <text>
        <r>
          <rPr>
            <b/>
            <sz val="9"/>
            <color indexed="81"/>
            <rFont val="細明體"/>
            <family val="3"/>
            <charset val="136"/>
          </rPr>
          <t>可填上機車資訊</t>
        </r>
      </text>
    </comment>
    <comment ref="C4" authorId="0">
      <text>
        <r>
          <rPr>
            <b/>
            <sz val="9"/>
            <color indexed="81"/>
            <rFont val="細明體"/>
            <family val="3"/>
            <charset val="136"/>
          </rPr>
          <t>行車距離＊機車誤差值</t>
        </r>
      </text>
    </comment>
    <comment ref="C7" authorId="0">
      <text>
        <r>
          <rPr>
            <b/>
            <sz val="9"/>
            <color indexed="81"/>
            <rFont val="細明體"/>
            <family val="3"/>
            <charset val="136"/>
          </rPr>
          <t>通勤天數預估及比較</t>
        </r>
      </text>
    </comment>
  </commentList>
</comments>
</file>

<file path=xl/comments2.xml><?xml version="1.0" encoding="utf-8"?>
<comments xmlns="http://schemas.openxmlformats.org/spreadsheetml/2006/main">
  <authors>
    <author>Jeric Chen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Jeric Chen,PMP: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實際路程</t>
        </r>
        <r>
          <rPr>
            <sz val="9"/>
            <color indexed="81"/>
            <rFont val="Tahoma"/>
            <family val="2"/>
          </rPr>
          <t xml:space="preserve"> / </t>
        </r>
        <r>
          <rPr>
            <sz val="9"/>
            <color indexed="81"/>
            <rFont val="細明體"/>
            <family val="3"/>
            <charset val="136"/>
          </rPr>
          <t>碼表計數
所得</t>
        </r>
      </text>
    </comment>
  </commentList>
</comments>
</file>

<file path=xl/sharedStrings.xml><?xml version="1.0" encoding="utf-8"?>
<sst xmlns="http://schemas.openxmlformats.org/spreadsheetml/2006/main" count="107" uniqueCount="70">
  <si>
    <t>汽車</t>
    <phoneticPr fontId="1" type="noConversion"/>
  </si>
  <si>
    <t>平均油耗</t>
    <phoneticPr fontId="1" type="noConversion"/>
  </si>
  <si>
    <t>單日里程數</t>
    <phoneticPr fontId="1" type="noConversion"/>
  </si>
  <si>
    <t>單日油資</t>
    <phoneticPr fontId="1" type="noConversion"/>
  </si>
  <si>
    <t>單日節省 機 vs 汽</t>
    <phoneticPr fontId="1" type="noConversion"/>
  </si>
  <si>
    <t>單月節省 機 vs 汽</t>
    <phoneticPr fontId="1" type="noConversion"/>
  </si>
  <si>
    <t>單年節省 機 vs 汽</t>
    <phoneticPr fontId="1" type="noConversion"/>
  </si>
  <si>
    <t>公升數</t>
    <phoneticPr fontId="1" type="noConversion"/>
  </si>
  <si>
    <t>里程表數</t>
    <phoneticPr fontId="1" type="noConversion"/>
  </si>
  <si>
    <t>油耗估算</t>
    <phoneticPr fontId="1" type="noConversion"/>
  </si>
  <si>
    <t>七月份</t>
    <phoneticPr fontId="1" type="noConversion"/>
  </si>
  <si>
    <t>八月份</t>
    <phoneticPr fontId="1" type="noConversion"/>
  </si>
  <si>
    <t>九月份</t>
    <phoneticPr fontId="1" type="noConversion"/>
  </si>
  <si>
    <t>十月份</t>
    <phoneticPr fontId="1" type="noConversion"/>
  </si>
  <si>
    <t>十一月份</t>
    <phoneticPr fontId="1" type="noConversion"/>
  </si>
  <si>
    <t>十二月份</t>
    <phoneticPr fontId="1" type="noConversion"/>
  </si>
  <si>
    <t>加油日期
 (每週三)</t>
    <phoneticPr fontId="1" type="noConversion"/>
  </si>
  <si>
    <t>預估單月上班油資</t>
    <phoneticPr fontId="1" type="noConversion"/>
  </si>
  <si>
    <t>標準
油資</t>
    <phoneticPr fontId="1" type="noConversion"/>
  </si>
  <si>
    <t>最佳紀錄</t>
  </si>
  <si>
    <t>折扣後金額
（台塑）</t>
    <phoneticPr fontId="1" type="noConversion"/>
  </si>
  <si>
    <t>實際行進里數</t>
    <phoneticPr fontId="1" type="noConversion"/>
  </si>
  <si>
    <t>前 10 優
平均</t>
    <phoneticPr fontId="1" type="noConversion"/>
  </si>
  <si>
    <t>平均開銷
（月）</t>
    <phoneticPr fontId="1" type="noConversion"/>
  </si>
  <si>
    <t>保養費用 /
(含添加劑成本）</t>
    <phoneticPr fontId="1" type="noConversion"/>
  </si>
  <si>
    <t>最差紀錄</t>
    <phoneticPr fontId="1" type="noConversion"/>
  </si>
  <si>
    <t>前 10 劣
平均</t>
    <phoneticPr fontId="1" type="noConversion"/>
  </si>
  <si>
    <t>月省</t>
    <phoneticPr fontId="1" type="noConversion"/>
  </si>
  <si>
    <t>年省</t>
    <phoneticPr fontId="1" type="noConversion"/>
  </si>
  <si>
    <t>一月份</t>
    <phoneticPr fontId="1" type="noConversion"/>
  </si>
  <si>
    <t>二月份</t>
    <phoneticPr fontId="1" type="noConversion"/>
  </si>
  <si>
    <t>三月份</t>
    <phoneticPr fontId="1" type="noConversion"/>
  </si>
  <si>
    <t>四月份</t>
    <phoneticPr fontId="1" type="noConversion"/>
  </si>
  <si>
    <t>五月份</t>
    <phoneticPr fontId="1" type="noConversion"/>
  </si>
  <si>
    <t>六月份</t>
    <phoneticPr fontId="1" type="noConversion"/>
  </si>
  <si>
    <t>時間</t>
    <phoneticPr fontId="1" type="noConversion"/>
  </si>
  <si>
    <t>平均月支出</t>
    <phoneticPr fontId="1" type="noConversion"/>
  </si>
  <si>
    <t>前 5 優
平均</t>
    <phoneticPr fontId="1" type="noConversion"/>
  </si>
  <si>
    <t>前 5 劣
平均</t>
    <phoneticPr fontId="1" type="noConversion"/>
  </si>
  <si>
    <r>
      <rPr>
        <b/>
        <sz val="18"/>
        <color rgb="FFFFFF00"/>
        <rFont val="新細明體"/>
        <family val="1"/>
        <charset val="136"/>
        <scheme val="minor"/>
      </rPr>
      <t>機</t>
    </r>
    <r>
      <rPr>
        <sz val="11"/>
        <color rgb="FFFFFF00"/>
        <rFont val="新細明體"/>
        <family val="1"/>
        <charset val="136"/>
        <scheme val="minor"/>
      </rPr>
      <t>車單月實際油資及維護支出</t>
    </r>
    <phoneticPr fontId="1" type="noConversion"/>
  </si>
  <si>
    <r>
      <rPr>
        <b/>
        <sz val="18"/>
        <color rgb="FFFFFF00"/>
        <rFont val="新細明體"/>
        <family val="1"/>
        <charset val="136"/>
        <scheme val="minor"/>
      </rPr>
      <t>汽</t>
    </r>
    <r>
      <rPr>
        <sz val="11"/>
        <color rgb="FFFFFF00"/>
        <rFont val="新細明體"/>
        <family val="1"/>
        <charset val="136"/>
        <scheme val="minor"/>
      </rPr>
      <t>車單月實際油資及維護支出</t>
    </r>
    <phoneticPr fontId="1" type="noConversion"/>
  </si>
  <si>
    <t>誤差參數</t>
    <phoneticPr fontId="1" type="noConversion"/>
  </si>
  <si>
    <t>累積總平均</t>
    <phoneticPr fontId="1" type="noConversion"/>
  </si>
  <si>
    <t>當日
油價</t>
    <phoneticPr fontId="1" type="noConversion"/>
  </si>
  <si>
    <t>保養記錄 / 備註</t>
    <phoneticPr fontId="1" type="noConversion"/>
  </si>
  <si>
    <t>保養記錄 / 備註</t>
    <phoneticPr fontId="1" type="noConversion"/>
  </si>
  <si>
    <t>平均成本
（NT / 公里）</t>
    <phoneticPr fontId="1" type="noConversion"/>
  </si>
  <si>
    <t>2010--加油</t>
    <phoneticPr fontId="1" type="noConversion"/>
  </si>
  <si>
    <t>2010--維護</t>
    <phoneticPr fontId="1" type="noConversion"/>
  </si>
  <si>
    <t>2011--加油</t>
    <phoneticPr fontId="1" type="noConversion"/>
  </si>
  <si>
    <t>2011--維護</t>
    <phoneticPr fontId="1" type="noConversion"/>
  </si>
  <si>
    <t>2012--加油</t>
    <phoneticPr fontId="1" type="noConversion"/>
  </si>
  <si>
    <t>2012--維護</t>
    <phoneticPr fontId="1" type="noConversion"/>
  </si>
  <si>
    <t>當日
油價</t>
    <phoneticPr fontId="1" type="noConversion"/>
  </si>
  <si>
    <t>當日
折扣</t>
    <phoneticPr fontId="1" type="noConversion"/>
  </si>
  <si>
    <t>小保養：機油 250x4 + 工錢 2000</t>
    <phoneticPr fontId="1" type="noConversion"/>
  </si>
  <si>
    <t>機油：250 , 齒輪油：50</t>
    <phoneticPr fontId="1" type="noConversion"/>
  </si>
  <si>
    <t>加汽油精 50cc</t>
    <phoneticPr fontId="1" type="noConversion"/>
  </si>
  <si>
    <t>加汽油精一罐</t>
    <phoneticPr fontId="1" type="noConversion"/>
  </si>
  <si>
    <t>機車</t>
    <phoneticPr fontId="1" type="noConversion"/>
  </si>
  <si>
    <t>換ML50後輪(1450+汽油精）</t>
    <phoneticPr fontId="1" type="noConversion"/>
  </si>
  <si>
    <t>全程高速公路定速 100</t>
    <phoneticPr fontId="1" type="noConversion"/>
  </si>
  <si>
    <t>機車加油記錄 --- XXXX + 95汽油</t>
    <phoneticPr fontId="1" type="noConversion"/>
  </si>
  <si>
    <t>XXXX + 95</t>
    <phoneticPr fontId="1" type="noConversion"/>
  </si>
  <si>
    <t>汽車加油記錄 - XXXXX + 95汽油</t>
    <phoneticPr fontId="1" type="noConversion"/>
  </si>
  <si>
    <t>XXXXX   + 95</t>
    <phoneticPr fontId="1" type="noConversion"/>
  </si>
  <si>
    <t>總加油量
( 升)</t>
    <phoneticPr fontId="1" type="noConversion"/>
  </si>
  <si>
    <t>總  計
( 行進公里數 )</t>
    <phoneticPr fontId="1" type="noConversion"/>
  </si>
  <si>
    <r>
      <t xml:space="preserve">紀錄總平均
 ( </t>
    </r>
    <r>
      <rPr>
        <sz val="11"/>
        <color theme="1"/>
        <rFont val="新細明體"/>
        <family val="1"/>
        <charset val="136"/>
        <scheme val="minor"/>
      </rPr>
      <t>公里 / 升)</t>
    </r>
    <phoneticPr fontId="1" type="noConversion"/>
  </si>
  <si>
    <t>平均成本
（NT / 公里）</t>
    <phoneticPr fontId="1" type="noConversion"/>
  </si>
</sst>
</file>

<file path=xl/styles.xml><?xml version="1.0" encoding="utf-8"?>
<styleSheet xmlns="http://schemas.openxmlformats.org/spreadsheetml/2006/main">
  <numFmts count="6">
    <numFmt numFmtId="176" formatCode="0.00_);[Red]\(0.00\)"/>
    <numFmt numFmtId="177" formatCode="0_ "/>
    <numFmt numFmtId="178" formatCode="0.00_ "/>
    <numFmt numFmtId="179" formatCode="mm/dd/yy;@"/>
    <numFmt numFmtId="180" formatCode="0.0_ "/>
    <numFmt numFmtId="181" formatCode="0.0_);[Red]\(0.0\)"/>
  </numFmts>
  <fonts count="21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0" tint="-0.249977111117893"/>
      <name val="新細明體"/>
      <family val="2"/>
      <charset val="136"/>
      <scheme val="minor"/>
    </font>
    <font>
      <sz val="11"/>
      <color theme="0" tint="-0.34998626667073579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1"/>
      <color rgb="FFFFFF00"/>
      <name val="新細明體"/>
      <family val="1"/>
      <charset val="136"/>
      <scheme val="minor"/>
    </font>
    <font>
      <sz val="11"/>
      <color theme="0" tint="-0.499984740745262"/>
      <name val="新細明體"/>
      <family val="2"/>
      <charset val="136"/>
      <scheme val="minor"/>
    </font>
    <font>
      <sz val="11"/>
      <color theme="0" tint="-0.499984740745262"/>
      <name val="新細明體"/>
      <family val="1"/>
      <charset val="136"/>
      <scheme val="minor"/>
    </font>
    <font>
      <b/>
      <sz val="18"/>
      <color rgb="FFFFFF00"/>
      <name val="標楷體"/>
      <family val="4"/>
      <charset val="136"/>
    </font>
    <font>
      <b/>
      <sz val="18"/>
      <color rgb="FFFFFF00"/>
      <name val="新細明體"/>
      <family val="1"/>
      <charset val="136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8"/>
      <color theme="1"/>
      <name val="新細明體"/>
      <family val="1"/>
      <charset val="136"/>
      <scheme val="minor"/>
    </font>
    <font>
      <sz val="8"/>
      <color theme="0" tint="-0.34998626667073579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0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b/>
      <sz val="9"/>
      <color indexed="81"/>
      <name val="細明體"/>
      <family val="3"/>
      <charset val="136"/>
    </font>
  </fonts>
  <fills count="2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292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0497B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center" vertical="center"/>
    </xf>
    <xf numFmtId="178" fontId="4" fillId="0" borderId="0" xfId="0" applyNumberFormat="1" applyFont="1">
      <alignment vertical="center"/>
    </xf>
    <xf numFmtId="0" fontId="4" fillId="7" borderId="0" xfId="0" applyFont="1" applyFill="1">
      <alignment vertical="center"/>
    </xf>
    <xf numFmtId="0" fontId="4" fillId="7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179" fontId="4" fillId="0" borderId="0" xfId="0" applyNumberFormat="1" applyFont="1" applyAlignment="1">
      <alignment horizontal="center" vertical="center"/>
    </xf>
    <xf numFmtId="176" fontId="0" fillId="0" borderId="0" xfId="0" applyNumberFormat="1" applyProtection="1">
      <alignment vertical="center"/>
    </xf>
    <xf numFmtId="176" fontId="0" fillId="0" borderId="0" xfId="0" applyNumberFormat="1" applyAlignment="1" applyProtection="1">
      <alignment horizontal="center" vertical="center"/>
    </xf>
    <xf numFmtId="176" fontId="0" fillId="3" borderId="0" xfId="0" applyNumberFormat="1" applyFill="1" applyAlignment="1" applyProtection="1">
      <alignment horizontal="center" vertical="center"/>
    </xf>
    <xf numFmtId="176" fontId="0" fillId="12" borderId="0" xfId="0" applyNumberFormat="1" applyFill="1" applyAlignment="1" applyProtection="1">
      <alignment horizontal="center" vertical="center"/>
    </xf>
    <xf numFmtId="0" fontId="0" fillId="0" borderId="0" xfId="0" applyProtection="1">
      <alignment vertical="center"/>
    </xf>
    <xf numFmtId="176" fontId="0" fillId="3" borderId="0" xfId="0" applyNumberFormat="1" applyFill="1" applyProtection="1">
      <alignment vertical="center"/>
    </xf>
    <xf numFmtId="176" fontId="0" fillId="12" borderId="0" xfId="0" applyNumberFormat="1" applyFill="1" applyProtection="1">
      <alignment vertical="center"/>
    </xf>
    <xf numFmtId="176" fontId="0" fillId="5" borderId="0" xfId="0" applyNumberFormat="1" applyFill="1" applyAlignment="1" applyProtection="1">
      <alignment horizontal="center" vertical="center"/>
    </xf>
    <xf numFmtId="176" fontId="0" fillId="5" borderId="0" xfId="0" applyNumberFormat="1" applyFill="1" applyProtection="1">
      <alignment vertical="center"/>
    </xf>
    <xf numFmtId="176" fontId="0" fillId="2" borderId="0" xfId="0" applyNumberFormat="1" applyFill="1" applyProtection="1">
      <alignment vertical="center"/>
    </xf>
    <xf numFmtId="176" fontId="0" fillId="2" borderId="0" xfId="0" applyNumberFormat="1" applyFill="1" applyAlignment="1" applyProtection="1">
      <alignment horizontal="center" vertical="center"/>
    </xf>
    <xf numFmtId="176" fontId="0" fillId="0" borderId="0" xfId="0" applyNumberFormat="1" applyAlignment="1" applyProtection="1">
      <alignment horizontal="center" vertical="center"/>
      <protection locked="0"/>
    </xf>
    <xf numFmtId="176" fontId="4" fillId="0" borderId="0" xfId="0" applyNumberFormat="1" applyFont="1" applyProtection="1">
      <alignment vertical="center"/>
      <protection locked="0"/>
    </xf>
    <xf numFmtId="176" fontId="8" fillId="0" borderId="0" xfId="0" applyNumberFormat="1" applyFon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176" fontId="4" fillId="0" borderId="0" xfId="0" applyNumberFormat="1" applyFont="1" applyAlignment="1">
      <alignment horizontal="center" vertical="center"/>
    </xf>
    <xf numFmtId="176" fontId="4" fillId="7" borderId="0" xfId="0" applyNumberFormat="1" applyFont="1" applyFill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49" fontId="0" fillId="3" borderId="0" xfId="0" applyNumberFormat="1" applyFill="1" applyBorder="1" applyAlignment="1" applyProtection="1">
      <alignment horizontal="center" vertical="center"/>
    </xf>
    <xf numFmtId="176" fontId="0" fillId="2" borderId="0" xfId="0" applyNumberFormat="1" applyFill="1" applyBorder="1" applyProtection="1">
      <alignment vertical="center"/>
    </xf>
    <xf numFmtId="176" fontId="0" fillId="5" borderId="0" xfId="0" applyNumberFormat="1" applyFill="1" applyBorder="1" applyAlignment="1" applyProtection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right" vertical="center"/>
      <protection locked="0"/>
    </xf>
    <xf numFmtId="178" fontId="4" fillId="0" borderId="0" xfId="0" applyNumberFormat="1" applyFont="1" applyBorder="1" applyProtection="1">
      <alignment vertical="center"/>
      <protection locked="0"/>
    </xf>
    <xf numFmtId="177" fontId="3" fillId="0" borderId="0" xfId="0" applyNumberFormat="1" applyFont="1" applyBorder="1" applyAlignment="1" applyProtection="1">
      <alignment horizontal="right" vertical="center"/>
      <protection locked="0"/>
    </xf>
    <xf numFmtId="177" fontId="4" fillId="0" borderId="0" xfId="0" applyNumberFormat="1" applyFont="1" applyBorder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178" fontId="4" fillId="0" borderId="0" xfId="0" applyNumberFormat="1" applyFont="1" applyBorder="1" applyAlignment="1" applyProtection="1">
      <alignment horizontal="right" vertical="center"/>
      <protection locked="0"/>
    </xf>
    <xf numFmtId="180" fontId="4" fillId="0" borderId="0" xfId="0" applyNumberFormat="1" applyFont="1" applyBorder="1" applyAlignment="1" applyProtection="1">
      <alignment horizontal="center" vertical="center"/>
      <protection locked="0"/>
    </xf>
    <xf numFmtId="178" fontId="4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Border="1" applyAlignment="1">
      <alignment horizontal="right" vertical="center"/>
    </xf>
    <xf numFmtId="178" fontId="4" fillId="0" borderId="0" xfId="0" applyNumberFormat="1" applyFont="1" applyBorder="1">
      <alignment vertical="center"/>
    </xf>
    <xf numFmtId="0" fontId="4" fillId="0" borderId="1" xfId="0" applyFont="1" applyBorder="1" applyAlignment="1">
      <alignment horizontal="right" vertical="center"/>
    </xf>
    <xf numFmtId="178" fontId="4" fillId="0" borderId="1" xfId="0" applyNumberFormat="1" applyFont="1" applyBorder="1">
      <alignment vertical="center"/>
    </xf>
    <xf numFmtId="177" fontId="3" fillId="0" borderId="1" xfId="0" applyNumberFormat="1" applyFont="1" applyBorder="1" applyAlignment="1" applyProtection="1">
      <alignment horizontal="right" vertical="center"/>
      <protection locked="0"/>
    </xf>
    <xf numFmtId="177" fontId="4" fillId="0" borderId="1" xfId="0" applyNumberFormat="1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81" fontId="4" fillId="0" borderId="0" xfId="0" applyNumberFormat="1" applyFont="1" applyBorder="1" applyAlignment="1" applyProtection="1">
      <alignment horizontal="right" vertical="center"/>
      <protection locked="0"/>
    </xf>
    <xf numFmtId="181" fontId="4" fillId="0" borderId="0" xfId="0" applyNumberFormat="1" applyFont="1" applyBorder="1" applyAlignment="1">
      <alignment horizontal="center" vertical="center"/>
    </xf>
    <xf numFmtId="181" fontId="4" fillId="0" borderId="1" xfId="0" applyNumberFormat="1" applyFont="1" applyBorder="1" applyAlignment="1">
      <alignment horizontal="center" vertical="center"/>
    </xf>
    <xf numFmtId="0" fontId="4" fillId="14" borderId="0" xfId="0" applyFont="1" applyFill="1">
      <alignment vertical="center"/>
    </xf>
    <xf numFmtId="0" fontId="14" fillId="14" borderId="0" xfId="0" applyFont="1" applyFill="1" applyAlignment="1">
      <alignment horizontal="center" vertical="center"/>
    </xf>
    <xf numFmtId="0" fontId="4" fillId="14" borderId="0" xfId="0" applyFont="1" applyFill="1" applyAlignment="1">
      <alignment vertical="center"/>
    </xf>
    <xf numFmtId="176" fontId="4" fillId="0" borderId="0" xfId="0" applyNumberFormat="1" applyFont="1" applyFill="1" applyProtection="1">
      <alignment vertical="center"/>
      <protection locked="0"/>
    </xf>
    <xf numFmtId="176" fontId="4" fillId="0" borderId="17" xfId="0" applyNumberFormat="1" applyFont="1" applyFill="1" applyBorder="1" applyProtection="1">
      <alignment vertical="center"/>
      <protection locked="0"/>
    </xf>
    <xf numFmtId="176" fontId="4" fillId="0" borderId="19" xfId="0" applyNumberFormat="1" applyFont="1" applyFill="1" applyBorder="1" applyProtection="1">
      <alignment vertical="center"/>
      <protection locked="0"/>
    </xf>
    <xf numFmtId="176" fontId="0" fillId="0" borderId="0" xfId="0" applyNumberFormat="1" applyFill="1" applyAlignment="1" applyProtection="1">
      <alignment horizontal="center" vertical="center"/>
    </xf>
    <xf numFmtId="176" fontId="0" fillId="0" borderId="0" xfId="0" applyNumberFormat="1" applyFill="1" applyProtection="1">
      <alignment vertical="center"/>
    </xf>
    <xf numFmtId="176" fontId="0" fillId="0" borderId="0" xfId="0" applyNumberFormat="1" applyFill="1" applyAlignment="1" applyProtection="1">
      <alignment horizontal="center" vertical="center"/>
      <protection locked="0"/>
    </xf>
    <xf numFmtId="176" fontId="2" fillId="0" borderId="0" xfId="0" applyNumberFormat="1" applyFont="1" applyFill="1" applyProtection="1">
      <alignment vertical="center"/>
      <protection locked="0"/>
    </xf>
    <xf numFmtId="176" fontId="7" fillId="0" borderId="0" xfId="0" applyNumberFormat="1" applyFont="1" applyFill="1" applyAlignment="1" applyProtection="1">
      <alignment horizontal="center" vertical="center"/>
      <protection locked="0"/>
    </xf>
    <xf numFmtId="176" fontId="8" fillId="0" borderId="0" xfId="0" applyNumberFormat="1" applyFont="1" applyFill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hidden="1"/>
    </xf>
    <xf numFmtId="176" fontId="0" fillId="3" borderId="0" xfId="0" applyNumberFormat="1" applyFill="1" applyProtection="1">
      <alignment vertical="center"/>
      <protection hidden="1"/>
    </xf>
    <xf numFmtId="176" fontId="0" fillId="5" borderId="0" xfId="0" applyNumberFormat="1" applyFill="1" applyProtection="1">
      <alignment vertical="center"/>
      <protection hidden="1"/>
    </xf>
    <xf numFmtId="49" fontId="0" fillId="6" borderId="2" xfId="0" applyNumberFormat="1" applyFill="1" applyBorder="1" applyAlignment="1" applyProtection="1">
      <alignment horizontal="center" vertical="center"/>
      <protection hidden="1"/>
    </xf>
    <xf numFmtId="14" fontId="0" fillId="0" borderId="3" xfId="0" applyNumberFormat="1" applyBorder="1" applyAlignment="1" applyProtection="1">
      <alignment horizontal="center" vertical="center"/>
      <protection hidden="1"/>
    </xf>
    <xf numFmtId="14" fontId="0" fillId="0" borderId="9" xfId="0" applyNumberFormat="1" applyBorder="1" applyAlignment="1" applyProtection="1">
      <alignment horizontal="center" vertical="center"/>
      <protection hidden="1"/>
    </xf>
    <xf numFmtId="14" fontId="0" fillId="5" borderId="10" xfId="0" applyNumberFormat="1" applyFill="1" applyBorder="1" applyAlignment="1" applyProtection="1">
      <alignment horizontal="center" vertical="center"/>
      <protection hidden="1"/>
    </xf>
    <xf numFmtId="49" fontId="0" fillId="6" borderId="5" xfId="0" applyNumberFormat="1" applyFill="1" applyBorder="1" applyAlignment="1" applyProtection="1">
      <alignment horizontal="center" vertical="center"/>
      <protection hidden="1"/>
    </xf>
    <xf numFmtId="176" fontId="0" fillId="2" borderId="3" xfId="0" applyNumberFormat="1" applyFill="1" applyBorder="1" applyProtection="1">
      <alignment vertical="center"/>
      <protection hidden="1"/>
    </xf>
    <xf numFmtId="176" fontId="0" fillId="2" borderId="4" xfId="0" applyNumberFormat="1" applyFill="1" applyBorder="1" applyProtection="1">
      <alignment vertical="center"/>
      <protection hidden="1"/>
    </xf>
    <xf numFmtId="49" fontId="0" fillId="6" borderId="13" xfId="0" applyNumberFormat="1" applyFill="1" applyBorder="1" applyAlignment="1" applyProtection="1">
      <alignment horizontal="center" vertical="center"/>
      <protection hidden="1"/>
    </xf>
    <xf numFmtId="176" fontId="0" fillId="2" borderId="7" xfId="0" applyNumberFormat="1" applyFill="1" applyBorder="1" applyProtection="1">
      <alignment vertical="center"/>
      <protection hidden="1"/>
    </xf>
    <xf numFmtId="176" fontId="0" fillId="2" borderId="8" xfId="0" applyNumberFormat="1" applyFill="1" applyBorder="1" applyProtection="1">
      <alignment vertical="center"/>
      <protection hidden="1"/>
    </xf>
    <xf numFmtId="49" fontId="0" fillId="3" borderId="2" xfId="0" applyNumberFormat="1" applyFill="1" applyBorder="1" applyAlignment="1" applyProtection="1">
      <alignment horizontal="center" vertical="center"/>
      <protection hidden="1"/>
    </xf>
    <xf numFmtId="49" fontId="0" fillId="3" borderId="6" xfId="0" applyNumberFormat="1" applyFill="1" applyBorder="1" applyAlignment="1" applyProtection="1">
      <alignment horizontal="center" vertical="center"/>
      <protection hidden="1"/>
    </xf>
    <xf numFmtId="49" fontId="0" fillId="15" borderId="2" xfId="0" applyNumberFormat="1" applyFill="1" applyBorder="1" applyAlignment="1" applyProtection="1">
      <alignment horizontal="center" vertical="center"/>
      <protection hidden="1"/>
    </xf>
    <xf numFmtId="49" fontId="0" fillId="15" borderId="6" xfId="0" applyNumberFormat="1" applyFill="1" applyBorder="1" applyAlignment="1" applyProtection="1">
      <alignment horizontal="center" vertical="center"/>
      <protection hidden="1"/>
    </xf>
    <xf numFmtId="0" fontId="4" fillId="11" borderId="0" xfId="0" applyFont="1" applyFill="1" applyAlignment="1" applyProtection="1">
      <alignment horizontal="center" vertical="center"/>
      <protection hidden="1"/>
    </xf>
    <xf numFmtId="0" fontId="6" fillId="9" borderId="0" xfId="0" applyFont="1" applyFill="1" applyAlignment="1" applyProtection="1">
      <alignment horizontal="center" vertical="center"/>
      <protection hidden="1"/>
    </xf>
    <xf numFmtId="0" fontId="5" fillId="8" borderId="0" xfId="0" applyFont="1" applyFill="1" applyAlignment="1" applyProtection="1">
      <alignment horizontal="center" vertical="center" wrapText="1"/>
      <protection hidden="1"/>
    </xf>
    <xf numFmtId="0" fontId="4" fillId="8" borderId="0" xfId="0" applyFont="1" applyFill="1" applyAlignment="1" applyProtection="1">
      <alignment horizontal="center" vertical="center" wrapText="1"/>
      <protection hidden="1"/>
    </xf>
    <xf numFmtId="178" fontId="5" fillId="8" borderId="0" xfId="0" applyNumberFormat="1" applyFont="1" applyFill="1" applyAlignment="1" applyProtection="1">
      <alignment horizontal="center" vertical="center" wrapText="1"/>
      <protection hidden="1"/>
    </xf>
    <xf numFmtId="178" fontId="4" fillId="11" borderId="0" xfId="0" applyNumberFormat="1" applyFont="1" applyFill="1" applyAlignment="1" applyProtection="1">
      <alignment horizontal="center" vertical="center" wrapText="1"/>
      <protection hidden="1"/>
    </xf>
    <xf numFmtId="176" fontId="17" fillId="8" borderId="0" xfId="0" applyNumberFormat="1" applyFont="1" applyFill="1" applyAlignment="1" applyProtection="1">
      <alignment horizontal="center" vertical="center" wrapText="1"/>
      <protection hidden="1"/>
    </xf>
    <xf numFmtId="178" fontId="6" fillId="9" borderId="0" xfId="0" applyNumberFormat="1" applyFont="1" applyFill="1" applyAlignment="1" applyProtection="1">
      <alignment horizontal="center" vertical="center" wrapText="1"/>
      <protection hidden="1"/>
    </xf>
    <xf numFmtId="0" fontId="4" fillId="15" borderId="0" xfId="0" applyFont="1" applyFill="1" applyAlignment="1" applyProtection="1">
      <alignment horizontal="center" vertical="center"/>
      <protection hidden="1"/>
    </xf>
    <xf numFmtId="0" fontId="4" fillId="0" borderId="0" xfId="0" applyFont="1" applyProtection="1">
      <alignment vertical="center"/>
      <protection hidden="1"/>
    </xf>
    <xf numFmtId="178" fontId="4" fillId="0" borderId="0" xfId="0" applyNumberFormat="1" applyFont="1" applyAlignment="1" applyProtection="1">
      <alignment horizontal="center" vertical="center"/>
      <protection hidden="1"/>
    </xf>
    <xf numFmtId="180" fontId="4" fillId="4" borderId="0" xfId="0" applyNumberFormat="1" applyFont="1" applyFill="1" applyAlignment="1" applyProtection="1">
      <alignment horizontal="center" vertical="center"/>
      <protection hidden="1"/>
    </xf>
    <xf numFmtId="178" fontId="5" fillId="4" borderId="0" xfId="0" applyNumberFormat="1" applyFont="1" applyFill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176" fontId="4" fillId="4" borderId="0" xfId="0" applyNumberFormat="1" applyFont="1" applyFill="1" applyAlignment="1" applyProtection="1">
      <alignment horizontal="center" vertical="center"/>
      <protection hidden="1"/>
    </xf>
    <xf numFmtId="0" fontId="14" fillId="7" borderId="0" xfId="0" applyFont="1" applyFill="1" applyAlignment="1" applyProtection="1">
      <alignment horizontal="center" vertical="center"/>
      <protection hidden="1"/>
    </xf>
    <xf numFmtId="0" fontId="4" fillId="7" borderId="0" xfId="0" applyFont="1" applyFill="1" applyAlignment="1" applyProtection="1">
      <alignment horizontal="center" vertical="center"/>
      <protection hidden="1"/>
    </xf>
    <xf numFmtId="178" fontId="4" fillId="7" borderId="0" xfId="0" applyNumberFormat="1" applyFont="1" applyFill="1" applyProtection="1">
      <alignment vertical="center"/>
      <protection hidden="1"/>
    </xf>
    <xf numFmtId="176" fontId="4" fillId="7" borderId="0" xfId="0" applyNumberFormat="1" applyFont="1" applyFill="1" applyAlignment="1" applyProtection="1">
      <alignment horizontal="center" vertical="center"/>
      <protection hidden="1"/>
    </xf>
    <xf numFmtId="0" fontId="4" fillId="7" borderId="0" xfId="0" applyFont="1" applyFill="1" applyProtection="1">
      <alignment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176" fontId="4" fillId="0" borderId="15" xfId="0" applyNumberFormat="1" applyFont="1" applyBorder="1" applyAlignment="1" applyProtection="1">
      <alignment horizontal="center" vertical="center"/>
      <protection hidden="1"/>
    </xf>
    <xf numFmtId="0" fontId="4" fillId="0" borderId="15" xfId="0" applyFont="1" applyBorder="1" applyProtection="1">
      <alignment vertical="center"/>
      <protection hidden="1"/>
    </xf>
    <xf numFmtId="0" fontId="4" fillId="0" borderId="16" xfId="0" applyFont="1" applyBorder="1" applyProtection="1">
      <alignment vertical="center"/>
      <protection hidden="1"/>
    </xf>
    <xf numFmtId="0" fontId="18" fillId="18" borderId="17" xfId="0" applyFont="1" applyFill="1" applyBorder="1" applyAlignment="1" applyProtection="1">
      <alignment horizontal="center" vertical="center" wrapText="1"/>
      <protection hidden="1"/>
    </xf>
    <xf numFmtId="0" fontId="19" fillId="19" borderId="17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4" fillId="0" borderId="0" xfId="0" applyFont="1" applyBorder="1" applyAlignment="1" applyProtection="1">
      <alignment horizontal="center" vertical="center" wrapText="1"/>
      <protection hidden="1"/>
    </xf>
    <xf numFmtId="178" fontId="4" fillId="0" borderId="0" xfId="0" applyNumberFormat="1" applyFont="1" applyBorder="1" applyAlignment="1" applyProtection="1">
      <alignment horizontal="center" vertical="center"/>
      <protection hidden="1"/>
    </xf>
    <xf numFmtId="176" fontId="4" fillId="0" borderId="0" xfId="0" applyNumberFormat="1" applyFont="1" applyBorder="1" applyAlignment="1" applyProtection="1">
      <alignment horizontal="center" vertical="center" wrapText="1"/>
      <protection hidden="1"/>
    </xf>
    <xf numFmtId="178" fontId="4" fillId="0" borderId="0" xfId="0" applyNumberFormat="1" applyFont="1" applyBorder="1" applyAlignment="1" applyProtection="1">
      <alignment horizontal="right" vertical="center"/>
      <protection hidden="1"/>
    </xf>
    <xf numFmtId="178" fontId="4" fillId="0" borderId="0" xfId="0" applyNumberFormat="1" applyFont="1" applyFill="1" applyBorder="1" applyAlignment="1" applyProtection="1">
      <alignment horizontal="right" vertical="center"/>
      <protection hidden="1"/>
    </xf>
    <xf numFmtId="178" fontId="5" fillId="0" borderId="0" xfId="0" applyNumberFormat="1" applyFont="1" applyFill="1" applyBorder="1" applyAlignment="1" applyProtection="1">
      <alignment horizontal="right" vertical="center"/>
      <protection hidden="1"/>
    </xf>
    <xf numFmtId="178" fontId="4" fillId="0" borderId="1" xfId="0" applyNumberFormat="1" applyFont="1" applyBorder="1" applyAlignment="1" applyProtection="1">
      <alignment horizontal="right" vertical="center"/>
      <protection hidden="1"/>
    </xf>
    <xf numFmtId="176" fontId="4" fillId="0" borderId="0" xfId="0" applyNumberFormat="1" applyFont="1" applyBorder="1" applyAlignment="1" applyProtection="1">
      <alignment horizontal="right" vertical="center"/>
      <protection hidden="1"/>
    </xf>
    <xf numFmtId="176" fontId="4" fillId="0" borderId="0" xfId="0" applyNumberFormat="1" applyFont="1" applyFill="1" applyBorder="1" applyAlignment="1" applyProtection="1">
      <alignment horizontal="right" vertical="center"/>
      <protection hidden="1"/>
    </xf>
    <xf numFmtId="176" fontId="5" fillId="0" borderId="0" xfId="0" applyNumberFormat="1" applyFont="1" applyFill="1" applyBorder="1" applyAlignment="1" applyProtection="1">
      <alignment horizontal="right" vertical="center"/>
      <protection hidden="1"/>
    </xf>
    <xf numFmtId="176" fontId="4" fillId="0" borderId="1" xfId="0" applyNumberFormat="1" applyFont="1" applyBorder="1" applyAlignment="1" applyProtection="1">
      <alignment horizontal="right" vertical="center"/>
      <protection hidden="1"/>
    </xf>
    <xf numFmtId="0" fontId="4" fillId="4" borderId="0" xfId="0" applyFont="1" applyFill="1" applyBorder="1" applyAlignment="1" applyProtection="1">
      <alignment horizontal="center" vertical="center" wrapText="1"/>
      <protection locked="0"/>
    </xf>
    <xf numFmtId="0" fontId="4" fillId="16" borderId="14" xfId="0" applyFont="1" applyFill="1" applyBorder="1" applyAlignment="1" applyProtection="1">
      <alignment horizontal="center" vertical="center"/>
      <protection locked="0"/>
    </xf>
    <xf numFmtId="181" fontId="4" fillId="11" borderId="0" xfId="0" applyNumberFormat="1" applyFont="1" applyFill="1" applyAlignment="1" applyProtection="1">
      <alignment horizontal="center" vertical="center" wrapText="1"/>
      <protection hidden="1"/>
    </xf>
    <xf numFmtId="176" fontId="4" fillId="0" borderId="0" xfId="0" applyNumberFormat="1" applyFont="1" applyAlignment="1" applyProtection="1">
      <alignment horizontal="center" vertical="center"/>
      <protection hidden="1"/>
    </xf>
    <xf numFmtId="181" fontId="18" fillId="18" borderId="17" xfId="0" applyNumberFormat="1" applyFont="1" applyFill="1" applyBorder="1" applyAlignment="1" applyProtection="1">
      <alignment horizontal="center" vertical="center" wrapText="1"/>
      <protection hidden="1"/>
    </xf>
    <xf numFmtId="181" fontId="4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center" vertical="center" wrapText="1"/>
      <protection locked="0"/>
    </xf>
    <xf numFmtId="179" fontId="4" fillId="17" borderId="0" xfId="0" applyNumberFormat="1" applyFont="1" applyFill="1" applyBorder="1" applyAlignment="1" applyProtection="1">
      <alignment horizontal="center" vertical="center"/>
      <protection locked="0"/>
    </xf>
    <xf numFmtId="179" fontId="4" fillId="15" borderId="0" xfId="0" applyNumberFormat="1" applyFont="1" applyFill="1" applyBorder="1" applyAlignment="1" applyProtection="1">
      <alignment horizontal="center" vertical="center"/>
      <protection locked="0"/>
    </xf>
    <xf numFmtId="179" fontId="4" fillId="8" borderId="0" xfId="0" applyNumberFormat="1" applyFont="1" applyFill="1" applyBorder="1" applyAlignment="1" applyProtection="1">
      <alignment horizontal="center" vertical="center"/>
      <protection locked="0"/>
    </xf>
    <xf numFmtId="179" fontId="4" fillId="0" borderId="0" xfId="0" applyNumberFormat="1" applyFont="1" applyBorder="1" applyAlignment="1" applyProtection="1">
      <alignment horizontal="center" vertical="center"/>
      <protection locked="0"/>
    </xf>
    <xf numFmtId="179" fontId="4" fillId="0" borderId="1" xfId="0" applyNumberFormat="1" applyFont="1" applyBorder="1" applyAlignment="1" applyProtection="1">
      <alignment horizontal="center" vertical="center"/>
      <protection locked="0"/>
    </xf>
    <xf numFmtId="179" fontId="4" fillId="16" borderId="0" xfId="0" applyNumberFormat="1" applyFont="1" applyFill="1" applyBorder="1" applyAlignment="1" applyProtection="1">
      <alignment horizontal="center" vertical="center"/>
      <protection locked="0"/>
    </xf>
    <xf numFmtId="179" fontId="4" fillId="10" borderId="0" xfId="0" applyNumberFormat="1" applyFont="1" applyFill="1" applyBorder="1" applyAlignment="1" applyProtection="1">
      <alignment horizontal="center" vertical="center"/>
      <protection locked="0"/>
    </xf>
    <xf numFmtId="179" fontId="4" fillId="15" borderId="1" xfId="0" applyNumberFormat="1" applyFont="1" applyFill="1" applyBorder="1" applyAlignment="1" applyProtection="1">
      <alignment horizontal="center" vertical="center"/>
      <protection locked="0"/>
    </xf>
    <xf numFmtId="176" fontId="6" fillId="13" borderId="1" xfId="0" applyNumberFormat="1" applyFont="1" applyFill="1" applyBorder="1" applyAlignment="1" applyProtection="1">
      <alignment horizontal="center" vertical="center"/>
    </xf>
    <xf numFmtId="176" fontId="6" fillId="14" borderId="1" xfId="0" applyNumberFormat="1" applyFont="1" applyFill="1" applyBorder="1" applyAlignment="1" applyProtection="1">
      <alignment horizontal="center" vertical="center"/>
    </xf>
    <xf numFmtId="176" fontId="0" fillId="5" borderId="11" xfId="0" applyNumberFormat="1" applyFill="1" applyBorder="1" applyAlignment="1" applyProtection="1">
      <alignment horizontal="center" vertical="center"/>
      <protection hidden="1"/>
    </xf>
    <xf numFmtId="176" fontId="0" fillId="5" borderId="12" xfId="0" applyNumberForma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 vertical="center"/>
      <protection locked="0"/>
    </xf>
    <xf numFmtId="0" fontId="9" fillId="13" borderId="0" xfId="0" applyFont="1" applyFill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16" fillId="0" borderId="18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3" fillId="0" borderId="18" xfId="0" applyFont="1" applyBorder="1" applyAlignment="1" applyProtection="1">
      <alignment horizontal="left" vertical="center" wrapText="1"/>
      <protection locked="0"/>
    </xf>
    <xf numFmtId="0" fontId="4" fillId="16" borderId="15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18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9" fillId="14" borderId="0" xfId="0" applyFont="1" applyFill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/>
      <protection hidden="1"/>
    </xf>
    <xf numFmtId="0" fontId="16" fillId="0" borderId="18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82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212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FFFF66"/>
      <color rgb="FFFFCCFF"/>
      <color rgb="FFFF99FF"/>
      <color rgb="FF60497B"/>
      <color rgb="FF00FFFF"/>
      <color rgb="FF0000FF"/>
      <color rgb="FF66FF33"/>
      <color rgb="FF00FF00"/>
      <color rgb="FFFF00FF"/>
      <color rgb="FFFF212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chartsheet" Target="chartsheets/sheet2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style val="12"/>
  <c:chart>
    <c:title>
      <c:tx>
        <c:rich>
          <a:bodyPr/>
          <a:lstStyle/>
          <a:p>
            <a:pPr>
              <a:defRPr/>
            </a:pPr>
            <a:r>
              <a:rPr lang="zh-TW" altLang="en-US" sz="2800">
                <a:latin typeface="標楷體" pitchFamily="65" charset="-120"/>
                <a:ea typeface="標楷體" pitchFamily="65" charset="-120"/>
              </a:rPr>
              <a:t>機車油耗趨勢</a:t>
            </a:r>
            <a:endParaRPr lang="en-US" altLang="en-US" sz="2800">
              <a:latin typeface="標楷體" pitchFamily="65" charset="-120"/>
              <a:ea typeface="標楷體" pitchFamily="65" charset="-120"/>
            </a:endParaRP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dLbls>
            <c:dLbl>
              <c:idx val="77"/>
              <c:dLblPos val="r"/>
              <c:showVal val="1"/>
              <c:showSerName val="1"/>
            </c:dLbl>
            <c:delete val="1"/>
          </c:dLbls>
          <c:cat>
            <c:numRef>
              <c:f>機車加油記錄!$C$7:$C$138</c:f>
              <c:numCache>
                <c:formatCode>mm/dd/yy;@</c:formatCode>
                <c:ptCount val="132"/>
                <c:pt idx="0">
                  <c:v>40179</c:v>
                </c:pt>
                <c:pt idx="1">
                  <c:v>40599</c:v>
                </c:pt>
                <c:pt idx="2">
                  <c:v>40983</c:v>
                </c:pt>
                <c:pt idx="3">
                  <c:v>40990</c:v>
                </c:pt>
                <c:pt idx="4">
                  <c:v>40997</c:v>
                </c:pt>
                <c:pt idx="5">
                  <c:v>41004</c:v>
                </c:pt>
                <c:pt idx="6">
                  <c:v>41011</c:v>
                </c:pt>
                <c:pt idx="7">
                  <c:v>41018</c:v>
                </c:pt>
                <c:pt idx="8">
                  <c:v>41025</c:v>
                </c:pt>
                <c:pt idx="9">
                  <c:v>41032</c:v>
                </c:pt>
                <c:pt idx="10">
                  <c:v>41039</c:v>
                </c:pt>
                <c:pt idx="11">
                  <c:v>41046</c:v>
                </c:pt>
                <c:pt idx="12">
                  <c:v>41053</c:v>
                </c:pt>
                <c:pt idx="13">
                  <c:v>41060</c:v>
                </c:pt>
                <c:pt idx="14">
                  <c:v>41067</c:v>
                </c:pt>
                <c:pt idx="15">
                  <c:v>41074</c:v>
                </c:pt>
                <c:pt idx="16">
                  <c:v>41081</c:v>
                </c:pt>
                <c:pt idx="17">
                  <c:v>41088</c:v>
                </c:pt>
                <c:pt idx="18">
                  <c:v>41095</c:v>
                </c:pt>
                <c:pt idx="19">
                  <c:v>41102</c:v>
                </c:pt>
                <c:pt idx="20">
                  <c:v>41109</c:v>
                </c:pt>
                <c:pt idx="21">
                  <c:v>41116</c:v>
                </c:pt>
                <c:pt idx="22">
                  <c:v>41123</c:v>
                </c:pt>
                <c:pt idx="23">
                  <c:v>41130</c:v>
                </c:pt>
                <c:pt idx="24">
                  <c:v>41137</c:v>
                </c:pt>
                <c:pt idx="25">
                  <c:v>41144</c:v>
                </c:pt>
                <c:pt idx="26">
                  <c:v>41151</c:v>
                </c:pt>
                <c:pt idx="27">
                  <c:v>41158</c:v>
                </c:pt>
                <c:pt idx="28">
                  <c:v>41165</c:v>
                </c:pt>
                <c:pt idx="29">
                  <c:v>41172</c:v>
                </c:pt>
                <c:pt idx="30">
                  <c:v>41179</c:v>
                </c:pt>
                <c:pt idx="31">
                  <c:v>41186</c:v>
                </c:pt>
                <c:pt idx="32">
                  <c:v>41193</c:v>
                </c:pt>
                <c:pt idx="33">
                  <c:v>41200</c:v>
                </c:pt>
                <c:pt idx="34">
                  <c:v>41207</c:v>
                </c:pt>
                <c:pt idx="35">
                  <c:v>41214</c:v>
                </c:pt>
                <c:pt idx="36">
                  <c:v>41221</c:v>
                </c:pt>
                <c:pt idx="37">
                  <c:v>41228</c:v>
                </c:pt>
                <c:pt idx="38">
                  <c:v>41235</c:v>
                </c:pt>
                <c:pt idx="39">
                  <c:v>41242</c:v>
                </c:pt>
                <c:pt idx="40">
                  <c:v>41249</c:v>
                </c:pt>
                <c:pt idx="41">
                  <c:v>41256</c:v>
                </c:pt>
                <c:pt idx="42">
                  <c:v>41263</c:v>
                </c:pt>
                <c:pt idx="43">
                  <c:v>41270</c:v>
                </c:pt>
                <c:pt idx="44">
                  <c:v>41277</c:v>
                </c:pt>
                <c:pt idx="45">
                  <c:v>41284</c:v>
                </c:pt>
                <c:pt idx="46">
                  <c:v>41291</c:v>
                </c:pt>
                <c:pt idx="47">
                  <c:v>41298</c:v>
                </c:pt>
                <c:pt idx="48">
                  <c:v>41305</c:v>
                </c:pt>
                <c:pt idx="49">
                  <c:v>41312</c:v>
                </c:pt>
                <c:pt idx="50">
                  <c:v>41319</c:v>
                </c:pt>
                <c:pt idx="51">
                  <c:v>41326</c:v>
                </c:pt>
                <c:pt idx="52">
                  <c:v>41333</c:v>
                </c:pt>
                <c:pt idx="53">
                  <c:v>41340</c:v>
                </c:pt>
                <c:pt idx="54">
                  <c:v>41347</c:v>
                </c:pt>
                <c:pt idx="55">
                  <c:v>41354</c:v>
                </c:pt>
                <c:pt idx="56">
                  <c:v>41361</c:v>
                </c:pt>
                <c:pt idx="57">
                  <c:v>41368</c:v>
                </c:pt>
                <c:pt idx="58">
                  <c:v>41375</c:v>
                </c:pt>
                <c:pt idx="59">
                  <c:v>41382</c:v>
                </c:pt>
                <c:pt idx="60">
                  <c:v>41389</c:v>
                </c:pt>
                <c:pt idx="61">
                  <c:v>41396</c:v>
                </c:pt>
                <c:pt idx="62">
                  <c:v>41403</c:v>
                </c:pt>
                <c:pt idx="63">
                  <c:v>41410</c:v>
                </c:pt>
                <c:pt idx="64">
                  <c:v>41417</c:v>
                </c:pt>
                <c:pt idx="65">
                  <c:v>41424</c:v>
                </c:pt>
                <c:pt idx="66">
                  <c:v>41431</c:v>
                </c:pt>
                <c:pt idx="67">
                  <c:v>41438</c:v>
                </c:pt>
                <c:pt idx="68">
                  <c:v>41445</c:v>
                </c:pt>
                <c:pt idx="69">
                  <c:v>41452</c:v>
                </c:pt>
                <c:pt idx="70">
                  <c:v>41459</c:v>
                </c:pt>
                <c:pt idx="71">
                  <c:v>41466</c:v>
                </c:pt>
                <c:pt idx="72">
                  <c:v>41473</c:v>
                </c:pt>
                <c:pt idx="73">
                  <c:v>41480</c:v>
                </c:pt>
                <c:pt idx="74">
                  <c:v>41487</c:v>
                </c:pt>
                <c:pt idx="75">
                  <c:v>41494</c:v>
                </c:pt>
                <c:pt idx="76">
                  <c:v>41501</c:v>
                </c:pt>
                <c:pt idx="77">
                  <c:v>41508</c:v>
                </c:pt>
                <c:pt idx="78">
                  <c:v>41515</c:v>
                </c:pt>
                <c:pt idx="79">
                  <c:v>41522</c:v>
                </c:pt>
                <c:pt idx="80">
                  <c:v>41529</c:v>
                </c:pt>
                <c:pt idx="81">
                  <c:v>41536</c:v>
                </c:pt>
                <c:pt idx="82">
                  <c:v>41543</c:v>
                </c:pt>
                <c:pt idx="83">
                  <c:v>41550</c:v>
                </c:pt>
                <c:pt idx="84">
                  <c:v>41557</c:v>
                </c:pt>
                <c:pt idx="85">
                  <c:v>41564</c:v>
                </c:pt>
                <c:pt idx="86">
                  <c:v>41571</c:v>
                </c:pt>
                <c:pt idx="87">
                  <c:v>41578</c:v>
                </c:pt>
                <c:pt idx="88">
                  <c:v>41585</c:v>
                </c:pt>
                <c:pt idx="89">
                  <c:v>41592</c:v>
                </c:pt>
                <c:pt idx="90">
                  <c:v>41599</c:v>
                </c:pt>
                <c:pt idx="91">
                  <c:v>41606</c:v>
                </c:pt>
                <c:pt idx="92">
                  <c:v>41613</c:v>
                </c:pt>
                <c:pt idx="93">
                  <c:v>41620</c:v>
                </c:pt>
                <c:pt idx="94">
                  <c:v>41627</c:v>
                </c:pt>
                <c:pt idx="95">
                  <c:v>41634</c:v>
                </c:pt>
                <c:pt idx="96">
                  <c:v>41641</c:v>
                </c:pt>
                <c:pt idx="97">
                  <c:v>41648</c:v>
                </c:pt>
                <c:pt idx="98">
                  <c:v>41655</c:v>
                </c:pt>
                <c:pt idx="99">
                  <c:v>41662</c:v>
                </c:pt>
                <c:pt idx="100">
                  <c:v>41669</c:v>
                </c:pt>
                <c:pt idx="101">
                  <c:v>41676</c:v>
                </c:pt>
                <c:pt idx="102">
                  <c:v>41683</c:v>
                </c:pt>
                <c:pt idx="103">
                  <c:v>41690</c:v>
                </c:pt>
                <c:pt idx="104">
                  <c:v>41697</c:v>
                </c:pt>
                <c:pt idx="105">
                  <c:v>41704</c:v>
                </c:pt>
                <c:pt idx="106">
                  <c:v>41711</c:v>
                </c:pt>
                <c:pt idx="107">
                  <c:v>41718</c:v>
                </c:pt>
                <c:pt idx="108">
                  <c:v>41725</c:v>
                </c:pt>
                <c:pt idx="109">
                  <c:v>41732</c:v>
                </c:pt>
                <c:pt idx="110">
                  <c:v>41739</c:v>
                </c:pt>
                <c:pt idx="111">
                  <c:v>41746</c:v>
                </c:pt>
                <c:pt idx="112">
                  <c:v>41753</c:v>
                </c:pt>
                <c:pt idx="113">
                  <c:v>41760</c:v>
                </c:pt>
                <c:pt idx="114">
                  <c:v>41767</c:v>
                </c:pt>
                <c:pt idx="115">
                  <c:v>41774</c:v>
                </c:pt>
                <c:pt idx="116">
                  <c:v>41781</c:v>
                </c:pt>
                <c:pt idx="117">
                  <c:v>41788</c:v>
                </c:pt>
                <c:pt idx="118">
                  <c:v>41795</c:v>
                </c:pt>
                <c:pt idx="119">
                  <c:v>41802</c:v>
                </c:pt>
                <c:pt idx="120">
                  <c:v>41809</c:v>
                </c:pt>
                <c:pt idx="121">
                  <c:v>41816</c:v>
                </c:pt>
                <c:pt idx="122">
                  <c:v>41823</c:v>
                </c:pt>
                <c:pt idx="123">
                  <c:v>41830</c:v>
                </c:pt>
                <c:pt idx="124">
                  <c:v>41837</c:v>
                </c:pt>
                <c:pt idx="125">
                  <c:v>41844</c:v>
                </c:pt>
                <c:pt idx="126">
                  <c:v>41851</c:v>
                </c:pt>
                <c:pt idx="127">
                  <c:v>41858</c:v>
                </c:pt>
                <c:pt idx="128">
                  <c:v>41865</c:v>
                </c:pt>
                <c:pt idx="129">
                  <c:v>41872</c:v>
                </c:pt>
                <c:pt idx="130">
                  <c:v>41879</c:v>
                </c:pt>
                <c:pt idx="131">
                  <c:v>41886</c:v>
                </c:pt>
              </c:numCache>
            </c:numRef>
          </c:cat>
          <c:val>
            <c:numRef>
              <c:f>機車加油記錄!$I$7:$I$86</c:f>
              <c:numCache>
                <c:formatCode>0.00_ </c:formatCode>
                <c:ptCount val="80"/>
                <c:pt idx="1">
                  <c:v>38.145675032619543</c:v>
                </c:pt>
                <c:pt idx="2">
                  <c:v>39.464411557434808</c:v>
                </c:pt>
                <c:pt idx="3">
                  <c:v>36.175710594315248</c:v>
                </c:pt>
                <c:pt idx="4">
                  <c:v>44.009380285055038</c:v>
                </c:pt>
                <c:pt idx="5">
                  <c:v>41.405933812770463</c:v>
                </c:pt>
                <c:pt idx="6">
                  <c:v>37.239702082383339</c:v>
                </c:pt>
                <c:pt idx="7">
                  <c:v>46.743895711755648</c:v>
                </c:pt>
                <c:pt idx="8">
                  <c:v>43.253567014942149</c:v>
                </c:pt>
                <c:pt idx="9">
                  <c:v>39.753528125621152</c:v>
                </c:pt>
                <c:pt idx="10">
                  <c:v>44.116720236969812</c:v>
                </c:pt>
                <c:pt idx="11">
                  <c:v>46.379116146558005</c:v>
                </c:pt>
                <c:pt idx="12">
                  <c:v>42.55965952272382</c:v>
                </c:pt>
                <c:pt idx="13">
                  <c:v>37.065277248273816</c:v>
                </c:pt>
                <c:pt idx="14">
                  <c:v>38.484798504590685</c:v>
                </c:pt>
                <c:pt idx="15">
                  <c:v>44.6613711040929</c:v>
                </c:pt>
                <c:pt idx="16">
                  <c:v>36.913990402362494</c:v>
                </c:pt>
                <c:pt idx="17">
                  <c:v>35.466382935603185</c:v>
                </c:pt>
                <c:pt idx="18">
                  <c:v>45.219638242894057</c:v>
                </c:pt>
                <c:pt idx="19">
                  <c:v>47.59961920304638</c:v>
                </c:pt>
                <c:pt idx="20">
                  <c:v>44.116720236969812</c:v>
                </c:pt>
                <c:pt idx="21">
                  <c:v>50.383998042221791</c:v>
                </c:pt>
                <c:pt idx="22">
                  <c:v>40.284755672956841</c:v>
                </c:pt>
                <c:pt idx="23">
                  <c:v>45.332970669567977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er>
          <c:idx val="1"/>
          <c:order val="1"/>
          <c:tx>
            <c:v>Top 10 Average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dLbls>
            <c:delete val="1"/>
          </c:dLbls>
          <c:cat>
            <c:numRef>
              <c:f>機車加油記錄!$C$7:$C$138</c:f>
              <c:numCache>
                <c:formatCode>mm/dd/yy;@</c:formatCode>
                <c:ptCount val="132"/>
                <c:pt idx="0">
                  <c:v>40179</c:v>
                </c:pt>
                <c:pt idx="1">
                  <c:v>40599</c:v>
                </c:pt>
                <c:pt idx="2">
                  <c:v>40983</c:v>
                </c:pt>
                <c:pt idx="3">
                  <c:v>40990</c:v>
                </c:pt>
                <c:pt idx="4">
                  <c:v>40997</c:v>
                </c:pt>
                <c:pt idx="5">
                  <c:v>41004</c:v>
                </c:pt>
                <c:pt idx="6">
                  <c:v>41011</c:v>
                </c:pt>
                <c:pt idx="7">
                  <c:v>41018</c:v>
                </c:pt>
                <c:pt idx="8">
                  <c:v>41025</c:v>
                </c:pt>
                <c:pt idx="9">
                  <c:v>41032</c:v>
                </c:pt>
                <c:pt idx="10">
                  <c:v>41039</c:v>
                </c:pt>
                <c:pt idx="11">
                  <c:v>41046</c:v>
                </c:pt>
                <c:pt idx="12">
                  <c:v>41053</c:v>
                </c:pt>
                <c:pt idx="13">
                  <c:v>41060</c:v>
                </c:pt>
                <c:pt idx="14">
                  <c:v>41067</c:v>
                </c:pt>
                <c:pt idx="15">
                  <c:v>41074</c:v>
                </c:pt>
                <c:pt idx="16">
                  <c:v>41081</c:v>
                </c:pt>
                <c:pt idx="17">
                  <c:v>41088</c:v>
                </c:pt>
                <c:pt idx="18">
                  <c:v>41095</c:v>
                </c:pt>
                <c:pt idx="19">
                  <c:v>41102</c:v>
                </c:pt>
                <c:pt idx="20">
                  <c:v>41109</c:v>
                </c:pt>
                <c:pt idx="21">
                  <c:v>41116</c:v>
                </c:pt>
                <c:pt idx="22">
                  <c:v>41123</c:v>
                </c:pt>
                <c:pt idx="23">
                  <c:v>41130</c:v>
                </c:pt>
                <c:pt idx="24">
                  <c:v>41137</c:v>
                </c:pt>
                <c:pt idx="25">
                  <c:v>41144</c:v>
                </c:pt>
                <c:pt idx="26">
                  <c:v>41151</c:v>
                </c:pt>
                <c:pt idx="27">
                  <c:v>41158</c:v>
                </c:pt>
                <c:pt idx="28">
                  <c:v>41165</c:v>
                </c:pt>
                <c:pt idx="29">
                  <c:v>41172</c:v>
                </c:pt>
                <c:pt idx="30">
                  <c:v>41179</c:v>
                </c:pt>
                <c:pt idx="31">
                  <c:v>41186</c:v>
                </c:pt>
                <c:pt idx="32">
                  <c:v>41193</c:v>
                </c:pt>
                <c:pt idx="33">
                  <c:v>41200</c:v>
                </c:pt>
                <c:pt idx="34">
                  <c:v>41207</c:v>
                </c:pt>
                <c:pt idx="35">
                  <c:v>41214</c:v>
                </c:pt>
                <c:pt idx="36">
                  <c:v>41221</c:v>
                </c:pt>
                <c:pt idx="37">
                  <c:v>41228</c:v>
                </c:pt>
                <c:pt idx="38">
                  <c:v>41235</c:v>
                </c:pt>
                <c:pt idx="39">
                  <c:v>41242</c:v>
                </c:pt>
                <c:pt idx="40">
                  <c:v>41249</c:v>
                </c:pt>
                <c:pt idx="41">
                  <c:v>41256</c:v>
                </c:pt>
                <c:pt idx="42">
                  <c:v>41263</c:v>
                </c:pt>
                <c:pt idx="43">
                  <c:v>41270</c:v>
                </c:pt>
                <c:pt idx="44">
                  <c:v>41277</c:v>
                </c:pt>
                <c:pt idx="45">
                  <c:v>41284</c:v>
                </c:pt>
                <c:pt idx="46">
                  <c:v>41291</c:v>
                </c:pt>
                <c:pt idx="47">
                  <c:v>41298</c:v>
                </c:pt>
                <c:pt idx="48">
                  <c:v>41305</c:v>
                </c:pt>
                <c:pt idx="49">
                  <c:v>41312</c:v>
                </c:pt>
                <c:pt idx="50">
                  <c:v>41319</c:v>
                </c:pt>
                <c:pt idx="51">
                  <c:v>41326</c:v>
                </c:pt>
                <c:pt idx="52">
                  <c:v>41333</c:v>
                </c:pt>
                <c:pt idx="53">
                  <c:v>41340</c:v>
                </c:pt>
                <c:pt idx="54">
                  <c:v>41347</c:v>
                </c:pt>
                <c:pt idx="55">
                  <c:v>41354</c:v>
                </c:pt>
                <c:pt idx="56">
                  <c:v>41361</c:v>
                </c:pt>
                <c:pt idx="57">
                  <c:v>41368</c:v>
                </c:pt>
                <c:pt idx="58">
                  <c:v>41375</c:v>
                </c:pt>
                <c:pt idx="59">
                  <c:v>41382</c:v>
                </c:pt>
                <c:pt idx="60">
                  <c:v>41389</c:v>
                </c:pt>
                <c:pt idx="61">
                  <c:v>41396</c:v>
                </c:pt>
                <c:pt idx="62">
                  <c:v>41403</c:v>
                </c:pt>
                <c:pt idx="63">
                  <c:v>41410</c:v>
                </c:pt>
                <c:pt idx="64">
                  <c:v>41417</c:v>
                </c:pt>
                <c:pt idx="65">
                  <c:v>41424</c:v>
                </c:pt>
                <c:pt idx="66">
                  <c:v>41431</c:v>
                </c:pt>
                <c:pt idx="67">
                  <c:v>41438</c:v>
                </c:pt>
                <c:pt idx="68">
                  <c:v>41445</c:v>
                </c:pt>
                <c:pt idx="69">
                  <c:v>41452</c:v>
                </c:pt>
                <c:pt idx="70">
                  <c:v>41459</c:v>
                </c:pt>
                <c:pt idx="71">
                  <c:v>41466</c:v>
                </c:pt>
                <c:pt idx="72">
                  <c:v>41473</c:v>
                </c:pt>
                <c:pt idx="73">
                  <c:v>41480</c:v>
                </c:pt>
                <c:pt idx="74">
                  <c:v>41487</c:v>
                </c:pt>
                <c:pt idx="75">
                  <c:v>41494</c:v>
                </c:pt>
                <c:pt idx="76">
                  <c:v>41501</c:v>
                </c:pt>
                <c:pt idx="77">
                  <c:v>41508</c:v>
                </c:pt>
                <c:pt idx="78">
                  <c:v>41515</c:v>
                </c:pt>
                <c:pt idx="79">
                  <c:v>41522</c:v>
                </c:pt>
                <c:pt idx="80">
                  <c:v>41529</c:v>
                </c:pt>
                <c:pt idx="81">
                  <c:v>41536</c:v>
                </c:pt>
                <c:pt idx="82">
                  <c:v>41543</c:v>
                </c:pt>
                <c:pt idx="83">
                  <c:v>41550</c:v>
                </c:pt>
                <c:pt idx="84">
                  <c:v>41557</c:v>
                </c:pt>
                <c:pt idx="85">
                  <c:v>41564</c:v>
                </c:pt>
                <c:pt idx="86">
                  <c:v>41571</c:v>
                </c:pt>
                <c:pt idx="87">
                  <c:v>41578</c:v>
                </c:pt>
                <c:pt idx="88">
                  <c:v>41585</c:v>
                </c:pt>
                <c:pt idx="89">
                  <c:v>41592</c:v>
                </c:pt>
                <c:pt idx="90">
                  <c:v>41599</c:v>
                </c:pt>
                <c:pt idx="91">
                  <c:v>41606</c:v>
                </c:pt>
                <c:pt idx="92">
                  <c:v>41613</c:v>
                </c:pt>
                <c:pt idx="93">
                  <c:v>41620</c:v>
                </c:pt>
                <c:pt idx="94">
                  <c:v>41627</c:v>
                </c:pt>
                <c:pt idx="95">
                  <c:v>41634</c:v>
                </c:pt>
                <c:pt idx="96">
                  <c:v>41641</c:v>
                </c:pt>
                <c:pt idx="97">
                  <c:v>41648</c:v>
                </c:pt>
                <c:pt idx="98">
                  <c:v>41655</c:v>
                </c:pt>
                <c:pt idx="99">
                  <c:v>41662</c:v>
                </c:pt>
                <c:pt idx="100">
                  <c:v>41669</c:v>
                </c:pt>
                <c:pt idx="101">
                  <c:v>41676</c:v>
                </c:pt>
                <c:pt idx="102">
                  <c:v>41683</c:v>
                </c:pt>
                <c:pt idx="103">
                  <c:v>41690</c:v>
                </c:pt>
                <c:pt idx="104">
                  <c:v>41697</c:v>
                </c:pt>
                <c:pt idx="105">
                  <c:v>41704</c:v>
                </c:pt>
                <c:pt idx="106">
                  <c:v>41711</c:v>
                </c:pt>
                <c:pt idx="107">
                  <c:v>41718</c:v>
                </c:pt>
                <c:pt idx="108">
                  <c:v>41725</c:v>
                </c:pt>
                <c:pt idx="109">
                  <c:v>41732</c:v>
                </c:pt>
                <c:pt idx="110">
                  <c:v>41739</c:v>
                </c:pt>
                <c:pt idx="111">
                  <c:v>41746</c:v>
                </c:pt>
                <c:pt idx="112">
                  <c:v>41753</c:v>
                </c:pt>
                <c:pt idx="113">
                  <c:v>41760</c:v>
                </c:pt>
                <c:pt idx="114">
                  <c:v>41767</c:v>
                </c:pt>
                <c:pt idx="115">
                  <c:v>41774</c:v>
                </c:pt>
                <c:pt idx="116">
                  <c:v>41781</c:v>
                </c:pt>
                <c:pt idx="117">
                  <c:v>41788</c:v>
                </c:pt>
                <c:pt idx="118">
                  <c:v>41795</c:v>
                </c:pt>
                <c:pt idx="119">
                  <c:v>41802</c:v>
                </c:pt>
                <c:pt idx="120">
                  <c:v>41809</c:v>
                </c:pt>
                <c:pt idx="121">
                  <c:v>41816</c:v>
                </c:pt>
                <c:pt idx="122">
                  <c:v>41823</c:v>
                </c:pt>
                <c:pt idx="123">
                  <c:v>41830</c:v>
                </c:pt>
                <c:pt idx="124">
                  <c:v>41837</c:v>
                </c:pt>
                <c:pt idx="125">
                  <c:v>41844</c:v>
                </c:pt>
                <c:pt idx="126">
                  <c:v>41851</c:v>
                </c:pt>
                <c:pt idx="127">
                  <c:v>41858</c:v>
                </c:pt>
                <c:pt idx="128">
                  <c:v>41865</c:v>
                </c:pt>
                <c:pt idx="129">
                  <c:v>41872</c:v>
                </c:pt>
                <c:pt idx="130">
                  <c:v>41879</c:v>
                </c:pt>
                <c:pt idx="131">
                  <c:v>41886</c:v>
                </c:pt>
              </c:numCache>
            </c:numRef>
          </c:cat>
          <c:val>
            <c:numRef>
              <c:f>機車加油記錄!$K$7:$K$138</c:f>
              <c:numCache>
                <c:formatCode>0.00_ </c:formatCode>
                <c:ptCount val="132"/>
                <c:pt idx="0">
                  <c:v>45.856342987913138</c:v>
                </c:pt>
                <c:pt idx="1">
                  <c:v>45.856342987913138</c:v>
                </c:pt>
                <c:pt idx="2">
                  <c:v>45.856342987913138</c:v>
                </c:pt>
                <c:pt idx="3">
                  <c:v>45.856342987913138</c:v>
                </c:pt>
                <c:pt idx="4">
                  <c:v>45.856342987913138</c:v>
                </c:pt>
                <c:pt idx="5">
                  <c:v>45.856342987913138</c:v>
                </c:pt>
                <c:pt idx="6">
                  <c:v>45.856342987913138</c:v>
                </c:pt>
                <c:pt idx="7">
                  <c:v>45.856342987913138</c:v>
                </c:pt>
                <c:pt idx="8">
                  <c:v>45.856342987913138</c:v>
                </c:pt>
                <c:pt idx="9">
                  <c:v>45.856342987913138</c:v>
                </c:pt>
                <c:pt idx="10">
                  <c:v>45.856342987913138</c:v>
                </c:pt>
                <c:pt idx="11">
                  <c:v>45.856342987913138</c:v>
                </c:pt>
                <c:pt idx="12">
                  <c:v>45.856342987913138</c:v>
                </c:pt>
                <c:pt idx="13">
                  <c:v>45.856342987913138</c:v>
                </c:pt>
                <c:pt idx="14">
                  <c:v>45.856342987913138</c:v>
                </c:pt>
                <c:pt idx="15">
                  <c:v>45.856342987913138</c:v>
                </c:pt>
                <c:pt idx="16">
                  <c:v>45.856342987913138</c:v>
                </c:pt>
                <c:pt idx="17">
                  <c:v>45.856342987913138</c:v>
                </c:pt>
                <c:pt idx="18">
                  <c:v>45.856342987913138</c:v>
                </c:pt>
                <c:pt idx="19">
                  <c:v>45.856342987913138</c:v>
                </c:pt>
                <c:pt idx="20">
                  <c:v>45.856342987913138</c:v>
                </c:pt>
                <c:pt idx="21">
                  <c:v>45.856342987913138</c:v>
                </c:pt>
                <c:pt idx="22">
                  <c:v>45.856342987913138</c:v>
                </c:pt>
                <c:pt idx="23">
                  <c:v>45.856342987913138</c:v>
                </c:pt>
                <c:pt idx="24">
                  <c:v>45.856342987913138</c:v>
                </c:pt>
                <c:pt idx="25">
                  <c:v>45.856342987913138</c:v>
                </c:pt>
                <c:pt idx="26">
                  <c:v>45.856342987913138</c:v>
                </c:pt>
                <c:pt idx="27">
                  <c:v>45.856342987913138</c:v>
                </c:pt>
                <c:pt idx="28">
                  <c:v>45.856342987913138</c:v>
                </c:pt>
                <c:pt idx="29">
                  <c:v>45.856342987913138</c:v>
                </c:pt>
                <c:pt idx="30">
                  <c:v>45.856342987913138</c:v>
                </c:pt>
                <c:pt idx="31">
                  <c:v>45.856342987913138</c:v>
                </c:pt>
                <c:pt idx="32">
                  <c:v>45.856342987913138</c:v>
                </c:pt>
                <c:pt idx="33">
                  <c:v>45.856342987913138</c:v>
                </c:pt>
                <c:pt idx="34">
                  <c:v>45.856342987913138</c:v>
                </c:pt>
                <c:pt idx="35">
                  <c:v>45.856342987913138</c:v>
                </c:pt>
                <c:pt idx="36">
                  <c:v>45.856342987913138</c:v>
                </c:pt>
                <c:pt idx="37">
                  <c:v>45.856342987913138</c:v>
                </c:pt>
                <c:pt idx="38">
                  <c:v>45.856342987913138</c:v>
                </c:pt>
                <c:pt idx="39">
                  <c:v>45.856342987913138</c:v>
                </c:pt>
                <c:pt idx="40">
                  <c:v>45.856342987913138</c:v>
                </c:pt>
                <c:pt idx="41">
                  <c:v>45.856342987913138</c:v>
                </c:pt>
                <c:pt idx="42">
                  <c:v>45.856342987913138</c:v>
                </c:pt>
                <c:pt idx="43">
                  <c:v>45.856342987913138</c:v>
                </c:pt>
                <c:pt idx="44">
                  <c:v>45.856342987913138</c:v>
                </c:pt>
                <c:pt idx="45">
                  <c:v>45.856342987913138</c:v>
                </c:pt>
                <c:pt idx="46">
                  <c:v>45.856342987913138</c:v>
                </c:pt>
                <c:pt idx="47">
                  <c:v>45.856342987913138</c:v>
                </c:pt>
                <c:pt idx="48">
                  <c:v>45.856342987913138</c:v>
                </c:pt>
                <c:pt idx="49">
                  <c:v>45.856342987913138</c:v>
                </c:pt>
                <c:pt idx="50">
                  <c:v>45.856342987913138</c:v>
                </c:pt>
                <c:pt idx="51">
                  <c:v>45.856342987913138</c:v>
                </c:pt>
                <c:pt idx="52">
                  <c:v>45.856342987913138</c:v>
                </c:pt>
                <c:pt idx="53">
                  <c:v>45.856342987913138</c:v>
                </c:pt>
                <c:pt idx="54">
                  <c:v>45.856342987913138</c:v>
                </c:pt>
                <c:pt idx="55">
                  <c:v>45.856342987913138</c:v>
                </c:pt>
                <c:pt idx="56">
                  <c:v>45.856342987913138</c:v>
                </c:pt>
                <c:pt idx="57">
                  <c:v>45.856342987913138</c:v>
                </c:pt>
                <c:pt idx="58">
                  <c:v>45.856342987913138</c:v>
                </c:pt>
                <c:pt idx="59">
                  <c:v>45.856342987913138</c:v>
                </c:pt>
                <c:pt idx="60">
                  <c:v>45.856342987913138</c:v>
                </c:pt>
                <c:pt idx="61">
                  <c:v>45.856342987913138</c:v>
                </c:pt>
                <c:pt idx="62">
                  <c:v>45.856342987913138</c:v>
                </c:pt>
                <c:pt idx="63">
                  <c:v>45.856342987913138</c:v>
                </c:pt>
                <c:pt idx="64">
                  <c:v>45.856342987913138</c:v>
                </c:pt>
                <c:pt idx="65">
                  <c:v>45.856342987913138</c:v>
                </c:pt>
                <c:pt idx="66">
                  <c:v>45.856342987913138</c:v>
                </c:pt>
                <c:pt idx="67">
                  <c:v>45.856342987913138</c:v>
                </c:pt>
                <c:pt idx="68">
                  <c:v>45.856342987913138</c:v>
                </c:pt>
                <c:pt idx="69">
                  <c:v>45.856342987913138</c:v>
                </c:pt>
                <c:pt idx="70">
                  <c:v>45.856342987913138</c:v>
                </c:pt>
                <c:pt idx="71">
                  <c:v>45.856342987913138</c:v>
                </c:pt>
                <c:pt idx="72">
                  <c:v>45.856342987913138</c:v>
                </c:pt>
                <c:pt idx="73">
                  <c:v>45.856342987913138</c:v>
                </c:pt>
                <c:pt idx="74">
                  <c:v>45.856342987913138</c:v>
                </c:pt>
                <c:pt idx="75">
                  <c:v>45.856342987913138</c:v>
                </c:pt>
                <c:pt idx="76">
                  <c:v>45.856342987913138</c:v>
                </c:pt>
                <c:pt idx="77">
                  <c:v>45.856342987913138</c:v>
                </c:pt>
                <c:pt idx="78">
                  <c:v>45.856342987913138</c:v>
                </c:pt>
                <c:pt idx="79">
                  <c:v>45.856342987913138</c:v>
                </c:pt>
                <c:pt idx="80">
                  <c:v>45.856342987913138</c:v>
                </c:pt>
                <c:pt idx="81">
                  <c:v>45.856342987913138</c:v>
                </c:pt>
                <c:pt idx="82">
                  <c:v>45.856342987913138</c:v>
                </c:pt>
                <c:pt idx="83">
                  <c:v>45.856342987913138</c:v>
                </c:pt>
                <c:pt idx="84">
                  <c:v>45.856342987913138</c:v>
                </c:pt>
                <c:pt idx="85">
                  <c:v>45.856342987913138</c:v>
                </c:pt>
                <c:pt idx="86">
                  <c:v>45.856342987913138</c:v>
                </c:pt>
                <c:pt idx="87">
                  <c:v>45.856342987913138</c:v>
                </c:pt>
                <c:pt idx="88">
                  <c:v>45.856342987913138</c:v>
                </c:pt>
                <c:pt idx="89">
                  <c:v>45.856342987913138</c:v>
                </c:pt>
                <c:pt idx="90">
                  <c:v>45.856342987913138</c:v>
                </c:pt>
                <c:pt idx="91">
                  <c:v>45.856342987913138</c:v>
                </c:pt>
                <c:pt idx="92">
                  <c:v>45.856342987913138</c:v>
                </c:pt>
                <c:pt idx="93">
                  <c:v>45.856342987913138</c:v>
                </c:pt>
                <c:pt idx="94">
                  <c:v>45.856342987913138</c:v>
                </c:pt>
                <c:pt idx="95">
                  <c:v>45.856342987913138</c:v>
                </c:pt>
                <c:pt idx="96">
                  <c:v>45.856342987913138</c:v>
                </c:pt>
                <c:pt idx="97">
                  <c:v>45.856342987913138</c:v>
                </c:pt>
                <c:pt idx="98">
                  <c:v>45.856342987913138</c:v>
                </c:pt>
                <c:pt idx="99">
                  <c:v>45.856342987913138</c:v>
                </c:pt>
                <c:pt idx="100">
                  <c:v>45.856342987913138</c:v>
                </c:pt>
                <c:pt idx="101">
                  <c:v>45.856342987913138</c:v>
                </c:pt>
                <c:pt idx="102">
                  <c:v>45.856342987913138</c:v>
                </c:pt>
                <c:pt idx="103">
                  <c:v>45.856342987913138</c:v>
                </c:pt>
                <c:pt idx="104">
                  <c:v>45.856342987913138</c:v>
                </c:pt>
                <c:pt idx="105">
                  <c:v>45.856342987913138</c:v>
                </c:pt>
                <c:pt idx="106">
                  <c:v>45.856342987913138</c:v>
                </c:pt>
                <c:pt idx="107">
                  <c:v>45.856342987913138</c:v>
                </c:pt>
                <c:pt idx="108">
                  <c:v>45.856342987913138</c:v>
                </c:pt>
                <c:pt idx="109">
                  <c:v>45.856342987913138</c:v>
                </c:pt>
                <c:pt idx="110">
                  <c:v>45.856342987913138</c:v>
                </c:pt>
                <c:pt idx="111">
                  <c:v>45.856342987913138</c:v>
                </c:pt>
                <c:pt idx="112">
                  <c:v>45.856342987913138</c:v>
                </c:pt>
                <c:pt idx="113">
                  <c:v>45.856342987913138</c:v>
                </c:pt>
                <c:pt idx="114">
                  <c:v>45.856342987913138</c:v>
                </c:pt>
                <c:pt idx="115">
                  <c:v>45.856342987913138</c:v>
                </c:pt>
                <c:pt idx="116">
                  <c:v>45.856342987913138</c:v>
                </c:pt>
                <c:pt idx="117">
                  <c:v>45.856342987913138</c:v>
                </c:pt>
                <c:pt idx="118">
                  <c:v>45.856342987913138</c:v>
                </c:pt>
                <c:pt idx="119">
                  <c:v>45.856342987913138</c:v>
                </c:pt>
                <c:pt idx="120">
                  <c:v>45.856342987913138</c:v>
                </c:pt>
                <c:pt idx="121">
                  <c:v>45.856342987913138</c:v>
                </c:pt>
                <c:pt idx="122">
                  <c:v>45.856342987913138</c:v>
                </c:pt>
                <c:pt idx="123">
                  <c:v>45.856342987913138</c:v>
                </c:pt>
                <c:pt idx="124">
                  <c:v>45.856342987913138</c:v>
                </c:pt>
                <c:pt idx="125">
                  <c:v>45.856342987913138</c:v>
                </c:pt>
                <c:pt idx="126">
                  <c:v>45.856342987913138</c:v>
                </c:pt>
                <c:pt idx="127">
                  <c:v>45.856342987913138</c:v>
                </c:pt>
                <c:pt idx="128">
                  <c:v>45.856342987913138</c:v>
                </c:pt>
                <c:pt idx="129">
                  <c:v>45.856342987913138</c:v>
                </c:pt>
                <c:pt idx="130">
                  <c:v>45.856342987913138</c:v>
                </c:pt>
                <c:pt idx="131">
                  <c:v>45.856342987913138</c:v>
                </c:pt>
              </c:numCache>
            </c:numRef>
          </c:val>
        </c:ser>
        <c:ser>
          <c:idx val="2"/>
          <c:order val="2"/>
          <c:tx>
            <c:v>Down 10 Limit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delete val="1"/>
          </c:dLbls>
          <c:cat>
            <c:numRef>
              <c:f>機車加油記錄!$C$7:$C$138</c:f>
              <c:numCache>
                <c:formatCode>mm/dd/yy;@</c:formatCode>
                <c:ptCount val="132"/>
                <c:pt idx="0">
                  <c:v>40179</c:v>
                </c:pt>
                <c:pt idx="1">
                  <c:v>40599</c:v>
                </c:pt>
                <c:pt idx="2">
                  <c:v>40983</c:v>
                </c:pt>
                <c:pt idx="3">
                  <c:v>40990</c:v>
                </c:pt>
                <c:pt idx="4">
                  <c:v>40997</c:v>
                </c:pt>
                <c:pt idx="5">
                  <c:v>41004</c:v>
                </c:pt>
                <c:pt idx="6">
                  <c:v>41011</c:v>
                </c:pt>
                <c:pt idx="7">
                  <c:v>41018</c:v>
                </c:pt>
                <c:pt idx="8">
                  <c:v>41025</c:v>
                </c:pt>
                <c:pt idx="9">
                  <c:v>41032</c:v>
                </c:pt>
                <c:pt idx="10">
                  <c:v>41039</c:v>
                </c:pt>
                <c:pt idx="11">
                  <c:v>41046</c:v>
                </c:pt>
                <c:pt idx="12">
                  <c:v>41053</c:v>
                </c:pt>
                <c:pt idx="13">
                  <c:v>41060</c:v>
                </c:pt>
                <c:pt idx="14">
                  <c:v>41067</c:v>
                </c:pt>
                <c:pt idx="15">
                  <c:v>41074</c:v>
                </c:pt>
                <c:pt idx="16">
                  <c:v>41081</c:v>
                </c:pt>
                <c:pt idx="17">
                  <c:v>41088</c:v>
                </c:pt>
                <c:pt idx="18">
                  <c:v>41095</c:v>
                </c:pt>
                <c:pt idx="19">
                  <c:v>41102</c:v>
                </c:pt>
                <c:pt idx="20">
                  <c:v>41109</c:v>
                </c:pt>
                <c:pt idx="21">
                  <c:v>41116</c:v>
                </c:pt>
                <c:pt idx="22">
                  <c:v>41123</c:v>
                </c:pt>
                <c:pt idx="23">
                  <c:v>41130</c:v>
                </c:pt>
                <c:pt idx="24">
                  <c:v>41137</c:v>
                </c:pt>
                <c:pt idx="25">
                  <c:v>41144</c:v>
                </c:pt>
                <c:pt idx="26">
                  <c:v>41151</c:v>
                </c:pt>
                <c:pt idx="27">
                  <c:v>41158</c:v>
                </c:pt>
                <c:pt idx="28">
                  <c:v>41165</c:v>
                </c:pt>
                <c:pt idx="29">
                  <c:v>41172</c:v>
                </c:pt>
                <c:pt idx="30">
                  <c:v>41179</c:v>
                </c:pt>
                <c:pt idx="31">
                  <c:v>41186</c:v>
                </c:pt>
                <c:pt idx="32">
                  <c:v>41193</c:v>
                </c:pt>
                <c:pt idx="33">
                  <c:v>41200</c:v>
                </c:pt>
                <c:pt idx="34">
                  <c:v>41207</c:v>
                </c:pt>
                <c:pt idx="35">
                  <c:v>41214</c:v>
                </c:pt>
                <c:pt idx="36">
                  <c:v>41221</c:v>
                </c:pt>
                <c:pt idx="37">
                  <c:v>41228</c:v>
                </c:pt>
                <c:pt idx="38">
                  <c:v>41235</c:v>
                </c:pt>
                <c:pt idx="39">
                  <c:v>41242</c:v>
                </c:pt>
                <c:pt idx="40">
                  <c:v>41249</c:v>
                </c:pt>
                <c:pt idx="41">
                  <c:v>41256</c:v>
                </c:pt>
                <c:pt idx="42">
                  <c:v>41263</c:v>
                </c:pt>
                <c:pt idx="43">
                  <c:v>41270</c:v>
                </c:pt>
                <c:pt idx="44">
                  <c:v>41277</c:v>
                </c:pt>
                <c:pt idx="45">
                  <c:v>41284</c:v>
                </c:pt>
                <c:pt idx="46">
                  <c:v>41291</c:v>
                </c:pt>
                <c:pt idx="47">
                  <c:v>41298</c:v>
                </c:pt>
                <c:pt idx="48">
                  <c:v>41305</c:v>
                </c:pt>
                <c:pt idx="49">
                  <c:v>41312</c:v>
                </c:pt>
                <c:pt idx="50">
                  <c:v>41319</c:v>
                </c:pt>
                <c:pt idx="51">
                  <c:v>41326</c:v>
                </c:pt>
                <c:pt idx="52">
                  <c:v>41333</c:v>
                </c:pt>
                <c:pt idx="53">
                  <c:v>41340</c:v>
                </c:pt>
                <c:pt idx="54">
                  <c:v>41347</c:v>
                </c:pt>
                <c:pt idx="55">
                  <c:v>41354</c:v>
                </c:pt>
                <c:pt idx="56">
                  <c:v>41361</c:v>
                </c:pt>
                <c:pt idx="57">
                  <c:v>41368</c:v>
                </c:pt>
                <c:pt idx="58">
                  <c:v>41375</c:v>
                </c:pt>
                <c:pt idx="59">
                  <c:v>41382</c:v>
                </c:pt>
                <c:pt idx="60">
                  <c:v>41389</c:v>
                </c:pt>
                <c:pt idx="61">
                  <c:v>41396</c:v>
                </c:pt>
                <c:pt idx="62">
                  <c:v>41403</c:v>
                </c:pt>
                <c:pt idx="63">
                  <c:v>41410</c:v>
                </c:pt>
                <c:pt idx="64">
                  <c:v>41417</c:v>
                </c:pt>
                <c:pt idx="65">
                  <c:v>41424</c:v>
                </c:pt>
                <c:pt idx="66">
                  <c:v>41431</c:v>
                </c:pt>
                <c:pt idx="67">
                  <c:v>41438</c:v>
                </c:pt>
                <c:pt idx="68">
                  <c:v>41445</c:v>
                </c:pt>
                <c:pt idx="69">
                  <c:v>41452</c:v>
                </c:pt>
                <c:pt idx="70">
                  <c:v>41459</c:v>
                </c:pt>
                <c:pt idx="71">
                  <c:v>41466</c:v>
                </c:pt>
                <c:pt idx="72">
                  <c:v>41473</c:v>
                </c:pt>
                <c:pt idx="73">
                  <c:v>41480</c:v>
                </c:pt>
                <c:pt idx="74">
                  <c:v>41487</c:v>
                </c:pt>
                <c:pt idx="75">
                  <c:v>41494</c:v>
                </c:pt>
                <c:pt idx="76">
                  <c:v>41501</c:v>
                </c:pt>
                <c:pt idx="77">
                  <c:v>41508</c:v>
                </c:pt>
                <c:pt idx="78">
                  <c:v>41515</c:v>
                </c:pt>
                <c:pt idx="79">
                  <c:v>41522</c:v>
                </c:pt>
                <c:pt idx="80">
                  <c:v>41529</c:v>
                </c:pt>
                <c:pt idx="81">
                  <c:v>41536</c:v>
                </c:pt>
                <c:pt idx="82">
                  <c:v>41543</c:v>
                </c:pt>
                <c:pt idx="83">
                  <c:v>41550</c:v>
                </c:pt>
                <c:pt idx="84">
                  <c:v>41557</c:v>
                </c:pt>
                <c:pt idx="85">
                  <c:v>41564</c:v>
                </c:pt>
                <c:pt idx="86">
                  <c:v>41571</c:v>
                </c:pt>
                <c:pt idx="87">
                  <c:v>41578</c:v>
                </c:pt>
                <c:pt idx="88">
                  <c:v>41585</c:v>
                </c:pt>
                <c:pt idx="89">
                  <c:v>41592</c:v>
                </c:pt>
                <c:pt idx="90">
                  <c:v>41599</c:v>
                </c:pt>
                <c:pt idx="91">
                  <c:v>41606</c:v>
                </c:pt>
                <c:pt idx="92">
                  <c:v>41613</c:v>
                </c:pt>
                <c:pt idx="93">
                  <c:v>41620</c:v>
                </c:pt>
                <c:pt idx="94">
                  <c:v>41627</c:v>
                </c:pt>
                <c:pt idx="95">
                  <c:v>41634</c:v>
                </c:pt>
                <c:pt idx="96">
                  <c:v>41641</c:v>
                </c:pt>
                <c:pt idx="97">
                  <c:v>41648</c:v>
                </c:pt>
                <c:pt idx="98">
                  <c:v>41655</c:v>
                </c:pt>
                <c:pt idx="99">
                  <c:v>41662</c:v>
                </c:pt>
                <c:pt idx="100">
                  <c:v>41669</c:v>
                </c:pt>
                <c:pt idx="101">
                  <c:v>41676</c:v>
                </c:pt>
                <c:pt idx="102">
                  <c:v>41683</c:v>
                </c:pt>
                <c:pt idx="103">
                  <c:v>41690</c:v>
                </c:pt>
                <c:pt idx="104">
                  <c:v>41697</c:v>
                </c:pt>
                <c:pt idx="105">
                  <c:v>41704</c:v>
                </c:pt>
                <c:pt idx="106">
                  <c:v>41711</c:v>
                </c:pt>
                <c:pt idx="107">
                  <c:v>41718</c:v>
                </c:pt>
                <c:pt idx="108">
                  <c:v>41725</c:v>
                </c:pt>
                <c:pt idx="109">
                  <c:v>41732</c:v>
                </c:pt>
                <c:pt idx="110">
                  <c:v>41739</c:v>
                </c:pt>
                <c:pt idx="111">
                  <c:v>41746</c:v>
                </c:pt>
                <c:pt idx="112">
                  <c:v>41753</c:v>
                </c:pt>
                <c:pt idx="113">
                  <c:v>41760</c:v>
                </c:pt>
                <c:pt idx="114">
                  <c:v>41767</c:v>
                </c:pt>
                <c:pt idx="115">
                  <c:v>41774</c:v>
                </c:pt>
                <c:pt idx="116">
                  <c:v>41781</c:v>
                </c:pt>
                <c:pt idx="117">
                  <c:v>41788</c:v>
                </c:pt>
                <c:pt idx="118">
                  <c:v>41795</c:v>
                </c:pt>
                <c:pt idx="119">
                  <c:v>41802</c:v>
                </c:pt>
                <c:pt idx="120">
                  <c:v>41809</c:v>
                </c:pt>
                <c:pt idx="121">
                  <c:v>41816</c:v>
                </c:pt>
                <c:pt idx="122">
                  <c:v>41823</c:v>
                </c:pt>
                <c:pt idx="123">
                  <c:v>41830</c:v>
                </c:pt>
                <c:pt idx="124">
                  <c:v>41837</c:v>
                </c:pt>
                <c:pt idx="125">
                  <c:v>41844</c:v>
                </c:pt>
                <c:pt idx="126">
                  <c:v>41851</c:v>
                </c:pt>
                <c:pt idx="127">
                  <c:v>41858</c:v>
                </c:pt>
                <c:pt idx="128">
                  <c:v>41865</c:v>
                </c:pt>
                <c:pt idx="129">
                  <c:v>41872</c:v>
                </c:pt>
                <c:pt idx="130">
                  <c:v>41879</c:v>
                </c:pt>
                <c:pt idx="131">
                  <c:v>41886</c:v>
                </c:pt>
              </c:numCache>
            </c:numRef>
          </c:cat>
          <c:val>
            <c:numRef>
              <c:f>機車加油記錄!$L$7:$L$138</c:f>
              <c:numCache>
                <c:formatCode>0.00_ </c:formatCode>
                <c:ptCount val="132"/>
                <c:pt idx="0">
                  <c:v>37.89942321561611</c:v>
                </c:pt>
                <c:pt idx="1">
                  <c:v>37.89942321561611</c:v>
                </c:pt>
                <c:pt idx="2">
                  <c:v>37.89942321561611</c:v>
                </c:pt>
                <c:pt idx="3">
                  <c:v>37.89942321561611</c:v>
                </c:pt>
                <c:pt idx="4">
                  <c:v>37.89942321561611</c:v>
                </c:pt>
                <c:pt idx="5">
                  <c:v>37.89942321561611</c:v>
                </c:pt>
                <c:pt idx="6">
                  <c:v>37.89942321561611</c:v>
                </c:pt>
                <c:pt idx="7">
                  <c:v>37.89942321561611</c:v>
                </c:pt>
                <c:pt idx="8">
                  <c:v>37.89942321561611</c:v>
                </c:pt>
                <c:pt idx="9">
                  <c:v>37.89942321561611</c:v>
                </c:pt>
                <c:pt idx="10">
                  <c:v>37.89942321561611</c:v>
                </c:pt>
                <c:pt idx="11">
                  <c:v>37.89942321561611</c:v>
                </c:pt>
                <c:pt idx="12">
                  <c:v>37.89942321561611</c:v>
                </c:pt>
                <c:pt idx="13">
                  <c:v>37.89942321561611</c:v>
                </c:pt>
                <c:pt idx="14">
                  <c:v>37.89942321561611</c:v>
                </c:pt>
                <c:pt idx="15">
                  <c:v>37.89942321561611</c:v>
                </c:pt>
                <c:pt idx="16">
                  <c:v>37.89942321561611</c:v>
                </c:pt>
                <c:pt idx="17">
                  <c:v>37.89942321561611</c:v>
                </c:pt>
                <c:pt idx="18">
                  <c:v>37.89942321561611</c:v>
                </c:pt>
                <c:pt idx="19">
                  <c:v>37.89942321561611</c:v>
                </c:pt>
                <c:pt idx="20">
                  <c:v>37.89942321561611</c:v>
                </c:pt>
                <c:pt idx="21">
                  <c:v>37.89942321561611</c:v>
                </c:pt>
                <c:pt idx="22">
                  <c:v>37.89942321561611</c:v>
                </c:pt>
                <c:pt idx="23">
                  <c:v>37.89942321561611</c:v>
                </c:pt>
                <c:pt idx="24">
                  <c:v>37.89942321561611</c:v>
                </c:pt>
                <c:pt idx="25">
                  <c:v>37.89942321561611</c:v>
                </c:pt>
                <c:pt idx="26">
                  <c:v>37.89942321561611</c:v>
                </c:pt>
                <c:pt idx="27">
                  <c:v>37.89942321561611</c:v>
                </c:pt>
                <c:pt idx="28">
                  <c:v>37.89942321561611</c:v>
                </c:pt>
                <c:pt idx="29">
                  <c:v>37.89942321561611</c:v>
                </c:pt>
                <c:pt idx="30">
                  <c:v>37.89942321561611</c:v>
                </c:pt>
                <c:pt idx="31">
                  <c:v>37.89942321561611</c:v>
                </c:pt>
                <c:pt idx="32">
                  <c:v>37.89942321561611</c:v>
                </c:pt>
                <c:pt idx="33">
                  <c:v>37.89942321561611</c:v>
                </c:pt>
                <c:pt idx="34">
                  <c:v>37.89942321561611</c:v>
                </c:pt>
                <c:pt idx="35">
                  <c:v>37.89942321561611</c:v>
                </c:pt>
                <c:pt idx="36">
                  <c:v>37.89942321561611</c:v>
                </c:pt>
                <c:pt idx="37">
                  <c:v>37.89942321561611</c:v>
                </c:pt>
                <c:pt idx="38">
                  <c:v>37.89942321561611</c:v>
                </c:pt>
                <c:pt idx="39">
                  <c:v>37.89942321561611</c:v>
                </c:pt>
                <c:pt idx="40">
                  <c:v>37.89942321561611</c:v>
                </c:pt>
                <c:pt idx="41">
                  <c:v>37.89942321561611</c:v>
                </c:pt>
                <c:pt idx="42">
                  <c:v>37.89942321561611</c:v>
                </c:pt>
                <c:pt idx="43">
                  <c:v>37.89942321561611</c:v>
                </c:pt>
                <c:pt idx="44">
                  <c:v>37.89942321561611</c:v>
                </c:pt>
                <c:pt idx="45">
                  <c:v>37.89942321561611</c:v>
                </c:pt>
                <c:pt idx="46">
                  <c:v>37.89942321561611</c:v>
                </c:pt>
                <c:pt idx="47">
                  <c:v>37.89942321561611</c:v>
                </c:pt>
                <c:pt idx="48">
                  <c:v>37.89942321561611</c:v>
                </c:pt>
                <c:pt idx="49">
                  <c:v>37.89942321561611</c:v>
                </c:pt>
                <c:pt idx="50">
                  <c:v>37.89942321561611</c:v>
                </c:pt>
                <c:pt idx="51">
                  <c:v>37.89942321561611</c:v>
                </c:pt>
                <c:pt idx="52">
                  <c:v>37.89942321561611</c:v>
                </c:pt>
                <c:pt idx="53">
                  <c:v>37.89942321561611</c:v>
                </c:pt>
                <c:pt idx="54">
                  <c:v>37.89942321561611</c:v>
                </c:pt>
                <c:pt idx="55">
                  <c:v>37.89942321561611</c:v>
                </c:pt>
                <c:pt idx="56">
                  <c:v>37.89942321561611</c:v>
                </c:pt>
                <c:pt idx="57">
                  <c:v>37.89942321561611</c:v>
                </c:pt>
                <c:pt idx="58">
                  <c:v>37.89942321561611</c:v>
                </c:pt>
                <c:pt idx="59">
                  <c:v>37.89942321561611</c:v>
                </c:pt>
                <c:pt idx="60">
                  <c:v>37.89942321561611</c:v>
                </c:pt>
                <c:pt idx="61">
                  <c:v>37.89942321561611</c:v>
                </c:pt>
                <c:pt idx="62">
                  <c:v>37.89942321561611</c:v>
                </c:pt>
                <c:pt idx="63">
                  <c:v>37.89942321561611</c:v>
                </c:pt>
                <c:pt idx="64">
                  <c:v>37.89942321561611</c:v>
                </c:pt>
                <c:pt idx="65">
                  <c:v>37.89942321561611</c:v>
                </c:pt>
                <c:pt idx="66">
                  <c:v>37.89942321561611</c:v>
                </c:pt>
                <c:pt idx="67">
                  <c:v>37.89942321561611</c:v>
                </c:pt>
                <c:pt idx="68">
                  <c:v>37.89942321561611</c:v>
                </c:pt>
                <c:pt idx="69">
                  <c:v>37.89942321561611</c:v>
                </c:pt>
                <c:pt idx="70">
                  <c:v>37.89942321561611</c:v>
                </c:pt>
                <c:pt idx="71">
                  <c:v>37.89942321561611</c:v>
                </c:pt>
                <c:pt idx="72">
                  <c:v>37.89942321561611</c:v>
                </c:pt>
                <c:pt idx="73">
                  <c:v>37.89942321561611</c:v>
                </c:pt>
                <c:pt idx="74">
                  <c:v>37.89942321561611</c:v>
                </c:pt>
                <c:pt idx="75">
                  <c:v>37.89942321561611</c:v>
                </c:pt>
                <c:pt idx="76">
                  <c:v>37.89942321561611</c:v>
                </c:pt>
                <c:pt idx="77">
                  <c:v>37.89942321561611</c:v>
                </c:pt>
                <c:pt idx="78">
                  <c:v>37.89942321561611</c:v>
                </c:pt>
                <c:pt idx="79">
                  <c:v>37.89942321561611</c:v>
                </c:pt>
                <c:pt idx="80">
                  <c:v>37.89942321561611</c:v>
                </c:pt>
                <c:pt idx="81">
                  <c:v>37.89942321561611</c:v>
                </c:pt>
                <c:pt idx="82">
                  <c:v>37.89942321561611</c:v>
                </c:pt>
                <c:pt idx="83">
                  <c:v>37.89942321561611</c:v>
                </c:pt>
                <c:pt idx="84">
                  <c:v>37.89942321561611</c:v>
                </c:pt>
                <c:pt idx="85">
                  <c:v>37.89942321561611</c:v>
                </c:pt>
                <c:pt idx="86">
                  <c:v>37.89942321561611</c:v>
                </c:pt>
                <c:pt idx="87">
                  <c:v>37.89942321561611</c:v>
                </c:pt>
                <c:pt idx="88">
                  <c:v>37.89942321561611</c:v>
                </c:pt>
                <c:pt idx="89">
                  <c:v>37.89942321561611</c:v>
                </c:pt>
                <c:pt idx="90">
                  <c:v>37.89942321561611</c:v>
                </c:pt>
                <c:pt idx="91">
                  <c:v>37.89942321561611</c:v>
                </c:pt>
                <c:pt idx="92">
                  <c:v>37.89942321561611</c:v>
                </c:pt>
                <c:pt idx="93">
                  <c:v>37.89942321561611</c:v>
                </c:pt>
                <c:pt idx="94">
                  <c:v>37.89942321561611</c:v>
                </c:pt>
                <c:pt idx="95">
                  <c:v>37.89942321561611</c:v>
                </c:pt>
                <c:pt idx="96">
                  <c:v>37.89942321561611</c:v>
                </c:pt>
                <c:pt idx="97">
                  <c:v>37.89942321561611</c:v>
                </c:pt>
                <c:pt idx="98">
                  <c:v>37.89942321561611</c:v>
                </c:pt>
                <c:pt idx="99">
                  <c:v>37.89942321561611</c:v>
                </c:pt>
                <c:pt idx="100">
                  <c:v>37.89942321561611</c:v>
                </c:pt>
                <c:pt idx="101">
                  <c:v>37.89942321561611</c:v>
                </c:pt>
                <c:pt idx="102">
                  <c:v>37.89942321561611</c:v>
                </c:pt>
                <c:pt idx="103">
                  <c:v>37.89942321561611</c:v>
                </c:pt>
                <c:pt idx="104">
                  <c:v>37.89942321561611</c:v>
                </c:pt>
                <c:pt idx="105">
                  <c:v>37.89942321561611</c:v>
                </c:pt>
                <c:pt idx="106">
                  <c:v>37.89942321561611</c:v>
                </c:pt>
                <c:pt idx="107">
                  <c:v>37.89942321561611</c:v>
                </c:pt>
                <c:pt idx="108">
                  <c:v>37.89942321561611</c:v>
                </c:pt>
                <c:pt idx="109">
                  <c:v>37.89942321561611</c:v>
                </c:pt>
                <c:pt idx="110">
                  <c:v>37.89942321561611</c:v>
                </c:pt>
                <c:pt idx="111">
                  <c:v>37.89942321561611</c:v>
                </c:pt>
                <c:pt idx="112">
                  <c:v>37.89942321561611</c:v>
                </c:pt>
                <c:pt idx="113">
                  <c:v>37.89942321561611</c:v>
                </c:pt>
                <c:pt idx="114">
                  <c:v>37.89942321561611</c:v>
                </c:pt>
                <c:pt idx="115">
                  <c:v>37.89942321561611</c:v>
                </c:pt>
                <c:pt idx="116">
                  <c:v>37.89942321561611</c:v>
                </c:pt>
                <c:pt idx="117">
                  <c:v>37.89942321561611</c:v>
                </c:pt>
                <c:pt idx="118">
                  <c:v>37.89942321561611</c:v>
                </c:pt>
                <c:pt idx="119">
                  <c:v>37.89942321561611</c:v>
                </c:pt>
                <c:pt idx="120">
                  <c:v>37.89942321561611</c:v>
                </c:pt>
                <c:pt idx="121">
                  <c:v>37.89942321561611</c:v>
                </c:pt>
                <c:pt idx="122">
                  <c:v>37.89942321561611</c:v>
                </c:pt>
                <c:pt idx="123">
                  <c:v>37.89942321561611</c:v>
                </c:pt>
                <c:pt idx="124">
                  <c:v>37.89942321561611</c:v>
                </c:pt>
                <c:pt idx="125">
                  <c:v>37.89942321561611</c:v>
                </c:pt>
                <c:pt idx="126">
                  <c:v>37.89942321561611</c:v>
                </c:pt>
                <c:pt idx="127">
                  <c:v>37.89942321561611</c:v>
                </c:pt>
                <c:pt idx="128">
                  <c:v>37.89942321561611</c:v>
                </c:pt>
                <c:pt idx="129">
                  <c:v>37.89942321561611</c:v>
                </c:pt>
                <c:pt idx="130">
                  <c:v>37.89942321561611</c:v>
                </c:pt>
                <c:pt idx="131">
                  <c:v>37.89942321561611</c:v>
                </c:pt>
              </c:numCache>
            </c:numRef>
          </c:val>
        </c:ser>
        <c:ser>
          <c:idx val="3"/>
          <c:order val="3"/>
          <c:tx>
            <c:v>Total AVG</c:v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dLbls>
            <c:delete val="1"/>
          </c:dLbls>
          <c:cat>
            <c:numRef>
              <c:f>機車加油記錄!$C$7:$C$138</c:f>
              <c:numCache>
                <c:formatCode>mm/dd/yy;@</c:formatCode>
                <c:ptCount val="132"/>
                <c:pt idx="0">
                  <c:v>40179</c:v>
                </c:pt>
                <c:pt idx="1">
                  <c:v>40599</c:v>
                </c:pt>
                <c:pt idx="2">
                  <c:v>40983</c:v>
                </c:pt>
                <c:pt idx="3">
                  <c:v>40990</c:v>
                </c:pt>
                <c:pt idx="4">
                  <c:v>40997</c:v>
                </c:pt>
                <c:pt idx="5">
                  <c:v>41004</c:v>
                </c:pt>
                <c:pt idx="6">
                  <c:v>41011</c:v>
                </c:pt>
                <c:pt idx="7">
                  <c:v>41018</c:v>
                </c:pt>
                <c:pt idx="8">
                  <c:v>41025</c:v>
                </c:pt>
                <c:pt idx="9">
                  <c:v>41032</c:v>
                </c:pt>
                <c:pt idx="10">
                  <c:v>41039</c:v>
                </c:pt>
                <c:pt idx="11">
                  <c:v>41046</c:v>
                </c:pt>
                <c:pt idx="12">
                  <c:v>41053</c:v>
                </c:pt>
                <c:pt idx="13">
                  <c:v>41060</c:v>
                </c:pt>
                <c:pt idx="14">
                  <c:v>41067</c:v>
                </c:pt>
                <c:pt idx="15">
                  <c:v>41074</c:v>
                </c:pt>
                <c:pt idx="16">
                  <c:v>41081</c:v>
                </c:pt>
                <c:pt idx="17">
                  <c:v>41088</c:v>
                </c:pt>
                <c:pt idx="18">
                  <c:v>41095</c:v>
                </c:pt>
                <c:pt idx="19">
                  <c:v>41102</c:v>
                </c:pt>
                <c:pt idx="20">
                  <c:v>41109</c:v>
                </c:pt>
                <c:pt idx="21">
                  <c:v>41116</c:v>
                </c:pt>
                <c:pt idx="22">
                  <c:v>41123</c:v>
                </c:pt>
                <c:pt idx="23">
                  <c:v>41130</c:v>
                </c:pt>
                <c:pt idx="24">
                  <c:v>41137</c:v>
                </c:pt>
                <c:pt idx="25">
                  <c:v>41144</c:v>
                </c:pt>
                <c:pt idx="26">
                  <c:v>41151</c:v>
                </c:pt>
                <c:pt idx="27">
                  <c:v>41158</c:v>
                </c:pt>
                <c:pt idx="28">
                  <c:v>41165</c:v>
                </c:pt>
                <c:pt idx="29">
                  <c:v>41172</c:v>
                </c:pt>
                <c:pt idx="30">
                  <c:v>41179</c:v>
                </c:pt>
                <c:pt idx="31">
                  <c:v>41186</c:v>
                </c:pt>
                <c:pt idx="32">
                  <c:v>41193</c:v>
                </c:pt>
                <c:pt idx="33">
                  <c:v>41200</c:v>
                </c:pt>
                <c:pt idx="34">
                  <c:v>41207</c:v>
                </c:pt>
                <c:pt idx="35">
                  <c:v>41214</c:v>
                </c:pt>
                <c:pt idx="36">
                  <c:v>41221</c:v>
                </c:pt>
                <c:pt idx="37">
                  <c:v>41228</c:v>
                </c:pt>
                <c:pt idx="38">
                  <c:v>41235</c:v>
                </c:pt>
                <c:pt idx="39">
                  <c:v>41242</c:v>
                </c:pt>
                <c:pt idx="40">
                  <c:v>41249</c:v>
                </c:pt>
                <c:pt idx="41">
                  <c:v>41256</c:v>
                </c:pt>
                <c:pt idx="42">
                  <c:v>41263</c:v>
                </c:pt>
                <c:pt idx="43">
                  <c:v>41270</c:v>
                </c:pt>
                <c:pt idx="44">
                  <c:v>41277</c:v>
                </c:pt>
                <c:pt idx="45">
                  <c:v>41284</c:v>
                </c:pt>
                <c:pt idx="46">
                  <c:v>41291</c:v>
                </c:pt>
                <c:pt idx="47">
                  <c:v>41298</c:v>
                </c:pt>
                <c:pt idx="48">
                  <c:v>41305</c:v>
                </c:pt>
                <c:pt idx="49">
                  <c:v>41312</c:v>
                </c:pt>
                <c:pt idx="50">
                  <c:v>41319</c:v>
                </c:pt>
                <c:pt idx="51">
                  <c:v>41326</c:v>
                </c:pt>
                <c:pt idx="52">
                  <c:v>41333</c:v>
                </c:pt>
                <c:pt idx="53">
                  <c:v>41340</c:v>
                </c:pt>
                <c:pt idx="54">
                  <c:v>41347</c:v>
                </c:pt>
                <c:pt idx="55">
                  <c:v>41354</c:v>
                </c:pt>
                <c:pt idx="56">
                  <c:v>41361</c:v>
                </c:pt>
                <c:pt idx="57">
                  <c:v>41368</c:v>
                </c:pt>
                <c:pt idx="58">
                  <c:v>41375</c:v>
                </c:pt>
                <c:pt idx="59">
                  <c:v>41382</c:v>
                </c:pt>
                <c:pt idx="60">
                  <c:v>41389</c:v>
                </c:pt>
                <c:pt idx="61">
                  <c:v>41396</c:v>
                </c:pt>
                <c:pt idx="62">
                  <c:v>41403</c:v>
                </c:pt>
                <c:pt idx="63">
                  <c:v>41410</c:v>
                </c:pt>
                <c:pt idx="64">
                  <c:v>41417</c:v>
                </c:pt>
                <c:pt idx="65">
                  <c:v>41424</c:v>
                </c:pt>
                <c:pt idx="66">
                  <c:v>41431</c:v>
                </c:pt>
                <c:pt idx="67">
                  <c:v>41438</c:v>
                </c:pt>
                <c:pt idx="68">
                  <c:v>41445</c:v>
                </c:pt>
                <c:pt idx="69">
                  <c:v>41452</c:v>
                </c:pt>
                <c:pt idx="70">
                  <c:v>41459</c:v>
                </c:pt>
                <c:pt idx="71">
                  <c:v>41466</c:v>
                </c:pt>
                <c:pt idx="72">
                  <c:v>41473</c:v>
                </c:pt>
                <c:pt idx="73">
                  <c:v>41480</c:v>
                </c:pt>
                <c:pt idx="74">
                  <c:v>41487</c:v>
                </c:pt>
                <c:pt idx="75">
                  <c:v>41494</c:v>
                </c:pt>
                <c:pt idx="76">
                  <c:v>41501</c:v>
                </c:pt>
                <c:pt idx="77">
                  <c:v>41508</c:v>
                </c:pt>
                <c:pt idx="78">
                  <c:v>41515</c:v>
                </c:pt>
                <c:pt idx="79">
                  <c:v>41522</c:v>
                </c:pt>
                <c:pt idx="80">
                  <c:v>41529</c:v>
                </c:pt>
                <c:pt idx="81">
                  <c:v>41536</c:v>
                </c:pt>
                <c:pt idx="82">
                  <c:v>41543</c:v>
                </c:pt>
                <c:pt idx="83">
                  <c:v>41550</c:v>
                </c:pt>
                <c:pt idx="84">
                  <c:v>41557</c:v>
                </c:pt>
                <c:pt idx="85">
                  <c:v>41564</c:v>
                </c:pt>
                <c:pt idx="86">
                  <c:v>41571</c:v>
                </c:pt>
                <c:pt idx="87">
                  <c:v>41578</c:v>
                </c:pt>
                <c:pt idx="88">
                  <c:v>41585</c:v>
                </c:pt>
                <c:pt idx="89">
                  <c:v>41592</c:v>
                </c:pt>
                <c:pt idx="90">
                  <c:v>41599</c:v>
                </c:pt>
                <c:pt idx="91">
                  <c:v>41606</c:v>
                </c:pt>
                <c:pt idx="92">
                  <c:v>41613</c:v>
                </c:pt>
                <c:pt idx="93">
                  <c:v>41620</c:v>
                </c:pt>
                <c:pt idx="94">
                  <c:v>41627</c:v>
                </c:pt>
                <c:pt idx="95">
                  <c:v>41634</c:v>
                </c:pt>
                <c:pt idx="96">
                  <c:v>41641</c:v>
                </c:pt>
                <c:pt idx="97">
                  <c:v>41648</c:v>
                </c:pt>
                <c:pt idx="98">
                  <c:v>41655</c:v>
                </c:pt>
                <c:pt idx="99">
                  <c:v>41662</c:v>
                </c:pt>
                <c:pt idx="100">
                  <c:v>41669</c:v>
                </c:pt>
                <c:pt idx="101">
                  <c:v>41676</c:v>
                </c:pt>
                <c:pt idx="102">
                  <c:v>41683</c:v>
                </c:pt>
                <c:pt idx="103">
                  <c:v>41690</c:v>
                </c:pt>
                <c:pt idx="104">
                  <c:v>41697</c:v>
                </c:pt>
                <c:pt idx="105">
                  <c:v>41704</c:v>
                </c:pt>
                <c:pt idx="106">
                  <c:v>41711</c:v>
                </c:pt>
                <c:pt idx="107">
                  <c:v>41718</c:v>
                </c:pt>
                <c:pt idx="108">
                  <c:v>41725</c:v>
                </c:pt>
                <c:pt idx="109">
                  <c:v>41732</c:v>
                </c:pt>
                <c:pt idx="110">
                  <c:v>41739</c:v>
                </c:pt>
                <c:pt idx="111">
                  <c:v>41746</c:v>
                </c:pt>
                <c:pt idx="112">
                  <c:v>41753</c:v>
                </c:pt>
                <c:pt idx="113">
                  <c:v>41760</c:v>
                </c:pt>
                <c:pt idx="114">
                  <c:v>41767</c:v>
                </c:pt>
                <c:pt idx="115">
                  <c:v>41774</c:v>
                </c:pt>
                <c:pt idx="116">
                  <c:v>41781</c:v>
                </c:pt>
                <c:pt idx="117">
                  <c:v>41788</c:v>
                </c:pt>
                <c:pt idx="118">
                  <c:v>41795</c:v>
                </c:pt>
                <c:pt idx="119">
                  <c:v>41802</c:v>
                </c:pt>
                <c:pt idx="120">
                  <c:v>41809</c:v>
                </c:pt>
                <c:pt idx="121">
                  <c:v>41816</c:v>
                </c:pt>
                <c:pt idx="122">
                  <c:v>41823</c:v>
                </c:pt>
                <c:pt idx="123">
                  <c:v>41830</c:v>
                </c:pt>
                <c:pt idx="124">
                  <c:v>41837</c:v>
                </c:pt>
                <c:pt idx="125">
                  <c:v>41844</c:v>
                </c:pt>
                <c:pt idx="126">
                  <c:v>41851</c:v>
                </c:pt>
                <c:pt idx="127">
                  <c:v>41858</c:v>
                </c:pt>
                <c:pt idx="128">
                  <c:v>41865</c:v>
                </c:pt>
                <c:pt idx="129">
                  <c:v>41872</c:v>
                </c:pt>
                <c:pt idx="130">
                  <c:v>41879</c:v>
                </c:pt>
                <c:pt idx="131">
                  <c:v>41886</c:v>
                </c:pt>
              </c:numCache>
            </c:numRef>
          </c:cat>
          <c:val>
            <c:numRef>
              <c:f>機車加油記錄!$M$7:$M$138</c:f>
              <c:numCache>
                <c:formatCode>0.00_ </c:formatCode>
                <c:ptCount val="132"/>
                <c:pt idx="0">
                  <c:v>41.946818364596908</c:v>
                </c:pt>
                <c:pt idx="1">
                  <c:v>41.946818364596908</c:v>
                </c:pt>
                <c:pt idx="2">
                  <c:v>41.946818364596908</c:v>
                </c:pt>
                <c:pt idx="3">
                  <c:v>41.946818364596908</c:v>
                </c:pt>
                <c:pt idx="4">
                  <c:v>41.946818364596908</c:v>
                </c:pt>
                <c:pt idx="5">
                  <c:v>41.946818364596908</c:v>
                </c:pt>
                <c:pt idx="6">
                  <c:v>41.946818364596908</c:v>
                </c:pt>
                <c:pt idx="7">
                  <c:v>41.946818364596908</c:v>
                </c:pt>
                <c:pt idx="8">
                  <c:v>41.946818364596908</c:v>
                </c:pt>
                <c:pt idx="9">
                  <c:v>41.946818364596908</c:v>
                </c:pt>
                <c:pt idx="10">
                  <c:v>41.946818364596908</c:v>
                </c:pt>
                <c:pt idx="11">
                  <c:v>41.946818364596908</c:v>
                </c:pt>
                <c:pt idx="12">
                  <c:v>41.946818364596908</c:v>
                </c:pt>
                <c:pt idx="13">
                  <c:v>41.946818364596908</c:v>
                </c:pt>
                <c:pt idx="14">
                  <c:v>41.946818364596908</c:v>
                </c:pt>
                <c:pt idx="15">
                  <c:v>41.946818364596908</c:v>
                </c:pt>
                <c:pt idx="16">
                  <c:v>41.946818364596908</c:v>
                </c:pt>
                <c:pt idx="17">
                  <c:v>41.946818364596908</c:v>
                </c:pt>
                <c:pt idx="18">
                  <c:v>41.946818364596908</c:v>
                </c:pt>
                <c:pt idx="19">
                  <c:v>41.946818364596908</c:v>
                </c:pt>
                <c:pt idx="20">
                  <c:v>41.946818364596908</c:v>
                </c:pt>
                <c:pt idx="21">
                  <c:v>41.946818364596908</c:v>
                </c:pt>
                <c:pt idx="22">
                  <c:v>41.946818364596908</c:v>
                </c:pt>
                <c:pt idx="23">
                  <c:v>41.946818364596908</c:v>
                </c:pt>
                <c:pt idx="24">
                  <c:v>41.946818364596908</c:v>
                </c:pt>
                <c:pt idx="25">
                  <c:v>41.946818364596908</c:v>
                </c:pt>
                <c:pt idx="26">
                  <c:v>41.946818364596908</c:v>
                </c:pt>
                <c:pt idx="27">
                  <c:v>41.946818364596908</c:v>
                </c:pt>
                <c:pt idx="28">
                  <c:v>41.946818364596908</c:v>
                </c:pt>
                <c:pt idx="29">
                  <c:v>41.946818364596908</c:v>
                </c:pt>
                <c:pt idx="30">
                  <c:v>41.946818364596908</c:v>
                </c:pt>
                <c:pt idx="31">
                  <c:v>41.946818364596908</c:v>
                </c:pt>
                <c:pt idx="32">
                  <c:v>41.946818364596908</c:v>
                </c:pt>
                <c:pt idx="33">
                  <c:v>41.946818364596908</c:v>
                </c:pt>
                <c:pt idx="34">
                  <c:v>41.946818364596908</c:v>
                </c:pt>
                <c:pt idx="35">
                  <c:v>41.946818364596908</c:v>
                </c:pt>
                <c:pt idx="36">
                  <c:v>41.946818364596908</c:v>
                </c:pt>
                <c:pt idx="37">
                  <c:v>41.946818364596908</c:v>
                </c:pt>
                <c:pt idx="38">
                  <c:v>41.946818364596908</c:v>
                </c:pt>
                <c:pt idx="39">
                  <c:v>41.946818364596908</c:v>
                </c:pt>
                <c:pt idx="40">
                  <c:v>41.946818364596908</c:v>
                </c:pt>
                <c:pt idx="41">
                  <c:v>41.946818364596908</c:v>
                </c:pt>
                <c:pt idx="42">
                  <c:v>41.946818364596908</c:v>
                </c:pt>
                <c:pt idx="43">
                  <c:v>41.946818364596908</c:v>
                </c:pt>
                <c:pt idx="44">
                  <c:v>41.946818364596908</c:v>
                </c:pt>
                <c:pt idx="45">
                  <c:v>41.946818364596908</c:v>
                </c:pt>
                <c:pt idx="46">
                  <c:v>41.946818364596908</c:v>
                </c:pt>
                <c:pt idx="47">
                  <c:v>41.946818364596908</c:v>
                </c:pt>
                <c:pt idx="48">
                  <c:v>41.946818364596908</c:v>
                </c:pt>
                <c:pt idx="49">
                  <c:v>41.946818364596908</c:v>
                </c:pt>
                <c:pt idx="50">
                  <c:v>41.946818364596908</c:v>
                </c:pt>
                <c:pt idx="51">
                  <c:v>41.946818364596908</c:v>
                </c:pt>
                <c:pt idx="52">
                  <c:v>41.946818364596908</c:v>
                </c:pt>
                <c:pt idx="53">
                  <c:v>41.946818364596908</c:v>
                </c:pt>
                <c:pt idx="54">
                  <c:v>41.946818364596908</c:v>
                </c:pt>
                <c:pt idx="55">
                  <c:v>41.946818364596908</c:v>
                </c:pt>
                <c:pt idx="56">
                  <c:v>41.946818364596908</c:v>
                </c:pt>
                <c:pt idx="57">
                  <c:v>41.946818364596908</c:v>
                </c:pt>
                <c:pt idx="58">
                  <c:v>41.946818364596908</c:v>
                </c:pt>
                <c:pt idx="59">
                  <c:v>41.946818364596908</c:v>
                </c:pt>
                <c:pt idx="60">
                  <c:v>41.946818364596908</c:v>
                </c:pt>
                <c:pt idx="61">
                  <c:v>41.946818364596908</c:v>
                </c:pt>
                <c:pt idx="62">
                  <c:v>41.946818364596908</c:v>
                </c:pt>
                <c:pt idx="63">
                  <c:v>41.946818364596908</c:v>
                </c:pt>
                <c:pt idx="64">
                  <c:v>41.946818364596908</c:v>
                </c:pt>
                <c:pt idx="65">
                  <c:v>41.946818364596908</c:v>
                </c:pt>
                <c:pt idx="66">
                  <c:v>41.946818364596908</c:v>
                </c:pt>
                <c:pt idx="67">
                  <c:v>41.946818364596908</c:v>
                </c:pt>
                <c:pt idx="68">
                  <c:v>41.946818364596908</c:v>
                </c:pt>
                <c:pt idx="69">
                  <c:v>41.946818364596908</c:v>
                </c:pt>
                <c:pt idx="70">
                  <c:v>41.946818364596908</c:v>
                </c:pt>
                <c:pt idx="71">
                  <c:v>41.946818364596908</c:v>
                </c:pt>
                <c:pt idx="72">
                  <c:v>41.946818364596908</c:v>
                </c:pt>
                <c:pt idx="73">
                  <c:v>41.946818364596908</c:v>
                </c:pt>
                <c:pt idx="74">
                  <c:v>41.946818364596908</c:v>
                </c:pt>
                <c:pt idx="75">
                  <c:v>41.946818364596908</c:v>
                </c:pt>
                <c:pt idx="76">
                  <c:v>41.946818364596908</c:v>
                </c:pt>
                <c:pt idx="77">
                  <c:v>41.946818364596908</c:v>
                </c:pt>
                <c:pt idx="78">
                  <c:v>41.946818364596908</c:v>
                </c:pt>
                <c:pt idx="79">
                  <c:v>41.946818364596908</c:v>
                </c:pt>
                <c:pt idx="80">
                  <c:v>41.946818364596908</c:v>
                </c:pt>
                <c:pt idx="81">
                  <c:v>41.946818364596908</c:v>
                </c:pt>
                <c:pt idx="82">
                  <c:v>41.946818364596908</c:v>
                </c:pt>
                <c:pt idx="83">
                  <c:v>41.946818364596908</c:v>
                </c:pt>
                <c:pt idx="84">
                  <c:v>41.946818364596908</c:v>
                </c:pt>
                <c:pt idx="85">
                  <c:v>41.946818364596908</c:v>
                </c:pt>
                <c:pt idx="86">
                  <c:v>41.946818364596908</c:v>
                </c:pt>
                <c:pt idx="87">
                  <c:v>41.946818364596908</c:v>
                </c:pt>
                <c:pt idx="88">
                  <c:v>41.946818364596908</c:v>
                </c:pt>
                <c:pt idx="89">
                  <c:v>41.946818364596908</c:v>
                </c:pt>
                <c:pt idx="90">
                  <c:v>41.946818364596908</c:v>
                </c:pt>
                <c:pt idx="91">
                  <c:v>41.946818364596908</c:v>
                </c:pt>
                <c:pt idx="92">
                  <c:v>41.946818364596908</c:v>
                </c:pt>
                <c:pt idx="93">
                  <c:v>41.946818364596908</c:v>
                </c:pt>
                <c:pt idx="94">
                  <c:v>41.946818364596908</c:v>
                </c:pt>
                <c:pt idx="95">
                  <c:v>41.946818364596908</c:v>
                </c:pt>
                <c:pt idx="96">
                  <c:v>41.946818364596908</c:v>
                </c:pt>
                <c:pt idx="97">
                  <c:v>41.946818364596908</c:v>
                </c:pt>
                <c:pt idx="98">
                  <c:v>41.946818364596908</c:v>
                </c:pt>
                <c:pt idx="99">
                  <c:v>41.946818364596908</c:v>
                </c:pt>
                <c:pt idx="100">
                  <c:v>41.946818364596908</c:v>
                </c:pt>
                <c:pt idx="101">
                  <c:v>41.946818364596908</c:v>
                </c:pt>
                <c:pt idx="102">
                  <c:v>41.946818364596908</c:v>
                </c:pt>
                <c:pt idx="103">
                  <c:v>41.946818364596908</c:v>
                </c:pt>
                <c:pt idx="104">
                  <c:v>41.946818364596908</c:v>
                </c:pt>
                <c:pt idx="105">
                  <c:v>41.946818364596908</c:v>
                </c:pt>
                <c:pt idx="106">
                  <c:v>41.946818364596908</c:v>
                </c:pt>
                <c:pt idx="107">
                  <c:v>41.946818364596908</c:v>
                </c:pt>
                <c:pt idx="108">
                  <c:v>41.946818364596908</c:v>
                </c:pt>
                <c:pt idx="109">
                  <c:v>41.946818364596908</c:v>
                </c:pt>
                <c:pt idx="110">
                  <c:v>41.946818364596908</c:v>
                </c:pt>
                <c:pt idx="111">
                  <c:v>41.946818364596908</c:v>
                </c:pt>
                <c:pt idx="112">
                  <c:v>41.946818364596908</c:v>
                </c:pt>
                <c:pt idx="113">
                  <c:v>41.946818364596908</c:v>
                </c:pt>
                <c:pt idx="114">
                  <c:v>41.946818364596908</c:v>
                </c:pt>
                <c:pt idx="115">
                  <c:v>41.946818364596908</c:v>
                </c:pt>
                <c:pt idx="116">
                  <c:v>41.946818364596908</c:v>
                </c:pt>
                <c:pt idx="117">
                  <c:v>41.946818364596908</c:v>
                </c:pt>
                <c:pt idx="118">
                  <c:v>41.946818364596908</c:v>
                </c:pt>
                <c:pt idx="119">
                  <c:v>41.946818364596908</c:v>
                </c:pt>
                <c:pt idx="120">
                  <c:v>41.946818364596908</c:v>
                </c:pt>
                <c:pt idx="121">
                  <c:v>41.946818364596908</c:v>
                </c:pt>
                <c:pt idx="122">
                  <c:v>41.946818364596908</c:v>
                </c:pt>
                <c:pt idx="123">
                  <c:v>41.946818364596908</c:v>
                </c:pt>
                <c:pt idx="124">
                  <c:v>41.946818364596908</c:v>
                </c:pt>
                <c:pt idx="125">
                  <c:v>41.946818364596908</c:v>
                </c:pt>
                <c:pt idx="126">
                  <c:v>41.946818364596908</c:v>
                </c:pt>
                <c:pt idx="127">
                  <c:v>41.946818364596908</c:v>
                </c:pt>
                <c:pt idx="128">
                  <c:v>41.946818364596908</c:v>
                </c:pt>
                <c:pt idx="129">
                  <c:v>41.946818364596908</c:v>
                </c:pt>
                <c:pt idx="130">
                  <c:v>41.946818364596908</c:v>
                </c:pt>
                <c:pt idx="131">
                  <c:v>41.946818364596908</c:v>
                </c:pt>
              </c:numCache>
            </c:numRef>
          </c:val>
        </c:ser>
        <c:dLbls>
          <c:showVal val="1"/>
        </c:dLbls>
        <c:marker val="1"/>
        <c:axId val="123654912"/>
        <c:axId val="123656448"/>
      </c:lineChart>
      <c:catAx>
        <c:axId val="123654912"/>
        <c:scaling>
          <c:orientation val="minMax"/>
        </c:scaling>
        <c:axPos val="b"/>
        <c:numFmt formatCode="mm/dd/yy;@" sourceLinked="0"/>
        <c:majorTickMark val="in"/>
        <c:minorTickMark val="out"/>
        <c:tickLblPos val="nextTo"/>
        <c:crossAx val="123656448"/>
        <c:crosses val="autoZero"/>
        <c:lblAlgn val="ctr"/>
        <c:lblOffset val="100"/>
        <c:tickLblSkip val="2"/>
        <c:tickMarkSkip val="2"/>
      </c:catAx>
      <c:valAx>
        <c:axId val="123656448"/>
        <c:scaling>
          <c:orientation val="minMax"/>
          <c:max val="50"/>
          <c:min val="32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 sz="1400">
                    <a:latin typeface="Arial" pitchFamily="34" charset="0"/>
                    <a:cs typeface="Arial" pitchFamily="34" charset="0"/>
                  </a:rPr>
                  <a:t>公里</a:t>
                </a:r>
                <a:r>
                  <a:rPr lang="zh-TW" altLang="en-US" sz="1400" baseline="0">
                    <a:latin typeface="Arial" pitchFamily="34" charset="0"/>
                    <a:cs typeface="Arial" pitchFamily="34" charset="0"/>
                  </a:rPr>
                  <a:t> </a:t>
                </a:r>
                <a:r>
                  <a:rPr lang="en-US" altLang="zh-TW" sz="1400" baseline="0">
                    <a:latin typeface="Arial" pitchFamily="34" charset="0"/>
                    <a:cs typeface="Arial" pitchFamily="34" charset="0"/>
                  </a:rPr>
                  <a:t>/</a:t>
                </a:r>
                <a:r>
                  <a:rPr lang="zh-TW" altLang="en-US" sz="1400" baseline="0">
                    <a:latin typeface="Arial" pitchFamily="34" charset="0"/>
                    <a:cs typeface="Arial" pitchFamily="34" charset="0"/>
                  </a:rPr>
                  <a:t> 公升 </a:t>
                </a:r>
                <a:r>
                  <a:rPr lang="en-US" altLang="zh-TW" sz="1400" baseline="0">
                    <a:latin typeface="Arial" pitchFamily="34" charset="0"/>
                    <a:cs typeface="Arial" pitchFamily="34" charset="0"/>
                  </a:rPr>
                  <a:t>(</a:t>
                </a:r>
                <a:r>
                  <a:rPr lang="zh-TW" altLang="en-US" sz="1400" baseline="0">
                    <a:latin typeface="Arial" pitchFamily="34" charset="0"/>
                    <a:cs typeface="Arial" pitchFamily="34" charset="0"/>
                  </a:rPr>
                  <a:t> </a:t>
                </a:r>
                <a:r>
                  <a:rPr lang="en-US" altLang="zh-TW" sz="1400" baseline="0">
                    <a:latin typeface="Arial" pitchFamily="34" charset="0"/>
                    <a:cs typeface="Arial" pitchFamily="34" charset="0"/>
                  </a:rPr>
                  <a:t>No.95</a:t>
                </a:r>
                <a:r>
                  <a:rPr lang="zh-TW" altLang="en-US" sz="1400" baseline="0">
                    <a:latin typeface="Arial" pitchFamily="34" charset="0"/>
                    <a:cs typeface="Arial" pitchFamily="34" charset="0"/>
                  </a:rPr>
                  <a:t> </a:t>
                </a:r>
                <a:r>
                  <a:rPr lang="en-US" altLang="zh-TW" baseline="0"/>
                  <a:t>)</a:t>
                </a:r>
                <a:endParaRPr lang="en-US" altLang="en-US"/>
              </a:p>
            </c:rich>
          </c:tx>
          <c:layout/>
        </c:title>
        <c:numFmt formatCode="0.0_ " sourceLinked="0"/>
        <c:majorTickMark val="none"/>
        <c:tickLblPos val="nextTo"/>
        <c:crossAx val="123654912"/>
        <c:crosses val="autoZero"/>
        <c:crossBetween val="between"/>
        <c:majorUnit val="0.5"/>
      </c:valAx>
    </c:plotArea>
    <c:plotVisOnly val="1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style val="12"/>
  <c:chart>
    <c:title>
      <c:tx>
        <c:rich>
          <a:bodyPr/>
          <a:lstStyle/>
          <a:p>
            <a:pPr>
              <a:defRPr/>
            </a:pPr>
            <a:r>
              <a:rPr lang="zh-TW" altLang="en-US" sz="2800">
                <a:latin typeface="標楷體" pitchFamily="65" charset="-120"/>
                <a:ea typeface="標楷體" pitchFamily="65" charset="-120"/>
              </a:rPr>
              <a:t>汽車油耗趨勢</a:t>
            </a:r>
            <a:endParaRPr lang="en-US" altLang="en-US" sz="2800">
              <a:latin typeface="標楷體" pitchFamily="65" charset="-120"/>
              <a:ea typeface="標楷體" pitchFamily="65" charset="-120"/>
            </a:endParaRP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dLbls>
            <c:dLbl>
              <c:idx val="77"/>
              <c:dLblPos val="r"/>
              <c:showVal val="1"/>
              <c:showSerName val="1"/>
            </c:dLbl>
            <c:delete val="1"/>
          </c:dLbls>
          <c:cat>
            <c:numRef>
              <c:f>汽車加油記錄!$C$7:$C$138</c:f>
              <c:numCache>
                <c:formatCode>mm/dd/yy;@</c:formatCode>
                <c:ptCount val="132"/>
                <c:pt idx="0">
                  <c:v>40179</c:v>
                </c:pt>
                <c:pt idx="1">
                  <c:v>40589</c:v>
                </c:pt>
                <c:pt idx="2">
                  <c:v>40968</c:v>
                </c:pt>
                <c:pt idx="3">
                  <c:v>40982</c:v>
                </c:pt>
                <c:pt idx="4">
                  <c:v>40996</c:v>
                </c:pt>
                <c:pt idx="5">
                  <c:v>41010</c:v>
                </c:pt>
                <c:pt idx="6">
                  <c:v>41024</c:v>
                </c:pt>
                <c:pt idx="7">
                  <c:v>41038</c:v>
                </c:pt>
                <c:pt idx="8">
                  <c:v>41052</c:v>
                </c:pt>
                <c:pt idx="9">
                  <c:v>41066</c:v>
                </c:pt>
                <c:pt idx="10">
                  <c:v>41080</c:v>
                </c:pt>
                <c:pt idx="11">
                  <c:v>41094</c:v>
                </c:pt>
                <c:pt idx="12">
                  <c:v>41108</c:v>
                </c:pt>
                <c:pt idx="13">
                  <c:v>41122</c:v>
                </c:pt>
                <c:pt idx="14">
                  <c:v>41136</c:v>
                </c:pt>
                <c:pt idx="15">
                  <c:v>41150</c:v>
                </c:pt>
                <c:pt idx="16">
                  <c:v>41164</c:v>
                </c:pt>
                <c:pt idx="17">
                  <c:v>41178</c:v>
                </c:pt>
                <c:pt idx="18">
                  <c:v>41192</c:v>
                </c:pt>
                <c:pt idx="19">
                  <c:v>41206</c:v>
                </c:pt>
                <c:pt idx="20">
                  <c:v>41220</c:v>
                </c:pt>
                <c:pt idx="21">
                  <c:v>41234</c:v>
                </c:pt>
                <c:pt idx="22">
                  <c:v>41248</c:v>
                </c:pt>
                <c:pt idx="23">
                  <c:v>41262</c:v>
                </c:pt>
                <c:pt idx="24">
                  <c:v>41276</c:v>
                </c:pt>
                <c:pt idx="25">
                  <c:v>41290</c:v>
                </c:pt>
                <c:pt idx="26">
                  <c:v>41304</c:v>
                </c:pt>
                <c:pt idx="27">
                  <c:v>41318</c:v>
                </c:pt>
                <c:pt idx="28">
                  <c:v>41332</c:v>
                </c:pt>
                <c:pt idx="29">
                  <c:v>41346</c:v>
                </c:pt>
                <c:pt idx="30">
                  <c:v>41360</c:v>
                </c:pt>
                <c:pt idx="31">
                  <c:v>41374</c:v>
                </c:pt>
                <c:pt idx="32">
                  <c:v>41388</c:v>
                </c:pt>
                <c:pt idx="33">
                  <c:v>41402</c:v>
                </c:pt>
                <c:pt idx="34">
                  <c:v>41416</c:v>
                </c:pt>
                <c:pt idx="35">
                  <c:v>41430</c:v>
                </c:pt>
                <c:pt idx="36">
                  <c:v>41444</c:v>
                </c:pt>
                <c:pt idx="37">
                  <c:v>41458</c:v>
                </c:pt>
                <c:pt idx="38">
                  <c:v>41472</c:v>
                </c:pt>
                <c:pt idx="39">
                  <c:v>41486</c:v>
                </c:pt>
                <c:pt idx="40">
                  <c:v>41500</c:v>
                </c:pt>
                <c:pt idx="41">
                  <c:v>41514</c:v>
                </c:pt>
                <c:pt idx="42">
                  <c:v>41528</c:v>
                </c:pt>
                <c:pt idx="43">
                  <c:v>41542</c:v>
                </c:pt>
                <c:pt idx="44">
                  <c:v>41556</c:v>
                </c:pt>
                <c:pt idx="45">
                  <c:v>41570</c:v>
                </c:pt>
                <c:pt idx="46">
                  <c:v>41584</c:v>
                </c:pt>
                <c:pt idx="47">
                  <c:v>41598</c:v>
                </c:pt>
                <c:pt idx="48">
                  <c:v>41612</c:v>
                </c:pt>
                <c:pt idx="49">
                  <c:v>41626</c:v>
                </c:pt>
                <c:pt idx="50">
                  <c:v>41640</c:v>
                </c:pt>
                <c:pt idx="51">
                  <c:v>41654</c:v>
                </c:pt>
                <c:pt idx="52">
                  <c:v>41668</c:v>
                </c:pt>
                <c:pt idx="53">
                  <c:v>41682</c:v>
                </c:pt>
                <c:pt idx="54">
                  <c:v>41696</c:v>
                </c:pt>
                <c:pt idx="55">
                  <c:v>41710</c:v>
                </c:pt>
                <c:pt idx="56">
                  <c:v>41724</c:v>
                </c:pt>
                <c:pt idx="57">
                  <c:v>41738</c:v>
                </c:pt>
                <c:pt idx="58">
                  <c:v>41752</c:v>
                </c:pt>
                <c:pt idx="59">
                  <c:v>41766</c:v>
                </c:pt>
                <c:pt idx="60">
                  <c:v>41780</c:v>
                </c:pt>
                <c:pt idx="61">
                  <c:v>41794</c:v>
                </c:pt>
                <c:pt idx="62">
                  <c:v>41808</c:v>
                </c:pt>
                <c:pt idx="63">
                  <c:v>41822</c:v>
                </c:pt>
                <c:pt idx="64">
                  <c:v>41836</c:v>
                </c:pt>
                <c:pt idx="65">
                  <c:v>41850</c:v>
                </c:pt>
                <c:pt idx="66">
                  <c:v>41864</c:v>
                </c:pt>
                <c:pt idx="67">
                  <c:v>41878</c:v>
                </c:pt>
                <c:pt idx="68">
                  <c:v>41892</c:v>
                </c:pt>
                <c:pt idx="69">
                  <c:v>41906</c:v>
                </c:pt>
                <c:pt idx="70">
                  <c:v>41920</c:v>
                </c:pt>
                <c:pt idx="71">
                  <c:v>41934</c:v>
                </c:pt>
                <c:pt idx="72">
                  <c:v>41948</c:v>
                </c:pt>
                <c:pt idx="73">
                  <c:v>41962</c:v>
                </c:pt>
                <c:pt idx="74">
                  <c:v>41976</c:v>
                </c:pt>
                <c:pt idx="75">
                  <c:v>41990</c:v>
                </c:pt>
                <c:pt idx="76">
                  <c:v>42004</c:v>
                </c:pt>
                <c:pt idx="77">
                  <c:v>42018</c:v>
                </c:pt>
                <c:pt idx="78">
                  <c:v>42032</c:v>
                </c:pt>
                <c:pt idx="79">
                  <c:v>42039</c:v>
                </c:pt>
                <c:pt idx="80">
                  <c:v>42046</c:v>
                </c:pt>
                <c:pt idx="81">
                  <c:v>42053</c:v>
                </c:pt>
                <c:pt idx="82">
                  <c:v>42060</c:v>
                </c:pt>
                <c:pt idx="83">
                  <c:v>42067</c:v>
                </c:pt>
                <c:pt idx="84">
                  <c:v>42074</c:v>
                </c:pt>
                <c:pt idx="85">
                  <c:v>42081</c:v>
                </c:pt>
                <c:pt idx="86">
                  <c:v>42088</c:v>
                </c:pt>
                <c:pt idx="87">
                  <c:v>42095</c:v>
                </c:pt>
                <c:pt idx="88">
                  <c:v>42102</c:v>
                </c:pt>
                <c:pt idx="89">
                  <c:v>42109</c:v>
                </c:pt>
                <c:pt idx="90">
                  <c:v>42116</c:v>
                </c:pt>
                <c:pt idx="91">
                  <c:v>42123</c:v>
                </c:pt>
                <c:pt idx="92">
                  <c:v>42130</c:v>
                </c:pt>
                <c:pt idx="93">
                  <c:v>42137</c:v>
                </c:pt>
                <c:pt idx="94">
                  <c:v>42144</c:v>
                </c:pt>
                <c:pt idx="95">
                  <c:v>42151</c:v>
                </c:pt>
                <c:pt idx="96">
                  <c:v>42158</c:v>
                </c:pt>
                <c:pt idx="97">
                  <c:v>42165</c:v>
                </c:pt>
                <c:pt idx="98">
                  <c:v>42172</c:v>
                </c:pt>
                <c:pt idx="99">
                  <c:v>42179</c:v>
                </c:pt>
                <c:pt idx="100">
                  <c:v>42186</c:v>
                </c:pt>
                <c:pt idx="101">
                  <c:v>42193</c:v>
                </c:pt>
                <c:pt idx="102">
                  <c:v>42200</c:v>
                </c:pt>
                <c:pt idx="103">
                  <c:v>42207</c:v>
                </c:pt>
                <c:pt idx="104">
                  <c:v>42214</c:v>
                </c:pt>
                <c:pt idx="105">
                  <c:v>42221</c:v>
                </c:pt>
              </c:numCache>
            </c:numRef>
          </c:cat>
          <c:val>
            <c:numRef>
              <c:f>汽車加油記錄!$I$7:$I$86</c:f>
              <c:numCache>
                <c:formatCode>0.00_ </c:formatCode>
                <c:ptCount val="80"/>
                <c:pt idx="1">
                  <c:v>7.4285714285714288</c:v>
                </c:pt>
                <c:pt idx="2">
                  <c:v>11.785714285714286</c:v>
                </c:pt>
                <c:pt idx="3">
                  <c:v>10</c:v>
                </c:pt>
                <c:pt idx="4">
                  <c:v>9.375</c:v>
                </c:pt>
                <c:pt idx="5">
                  <c:v>10.344827586206897</c:v>
                </c:pt>
                <c:pt idx="6">
                  <c:v>14.074074074074074</c:v>
                </c:pt>
                <c:pt idx="7">
                  <c:v>10.714285714285714</c:v>
                </c:pt>
                <c:pt idx="8">
                  <c:v>10.416666666666666</c:v>
                </c:pt>
                <c:pt idx="9">
                  <c:v>10</c:v>
                </c:pt>
                <c:pt idx="10">
                  <c:v>9.67741935483871</c:v>
                </c:pt>
                <c:pt idx="11">
                  <c:v>9.8199672667757767</c:v>
                </c:pt>
                <c:pt idx="12">
                  <c:v>11.111111111111111</c:v>
                </c:pt>
                <c:pt idx="13">
                  <c:v>12.5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er>
          <c:idx val="1"/>
          <c:order val="1"/>
          <c:tx>
            <c:v>Top 5 Average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dLbls>
            <c:delete val="1"/>
          </c:dLbls>
          <c:cat>
            <c:numRef>
              <c:f>汽車加油記錄!$C$7:$C$138</c:f>
              <c:numCache>
                <c:formatCode>mm/dd/yy;@</c:formatCode>
                <c:ptCount val="132"/>
                <c:pt idx="0">
                  <c:v>40179</c:v>
                </c:pt>
                <c:pt idx="1">
                  <c:v>40589</c:v>
                </c:pt>
                <c:pt idx="2">
                  <c:v>40968</c:v>
                </c:pt>
                <c:pt idx="3">
                  <c:v>40982</c:v>
                </c:pt>
                <c:pt idx="4">
                  <c:v>40996</c:v>
                </c:pt>
                <c:pt idx="5">
                  <c:v>41010</c:v>
                </c:pt>
                <c:pt idx="6">
                  <c:v>41024</c:v>
                </c:pt>
                <c:pt idx="7">
                  <c:v>41038</c:v>
                </c:pt>
                <c:pt idx="8">
                  <c:v>41052</c:v>
                </c:pt>
                <c:pt idx="9">
                  <c:v>41066</c:v>
                </c:pt>
                <c:pt idx="10">
                  <c:v>41080</c:v>
                </c:pt>
                <c:pt idx="11">
                  <c:v>41094</c:v>
                </c:pt>
                <c:pt idx="12">
                  <c:v>41108</c:v>
                </c:pt>
                <c:pt idx="13">
                  <c:v>41122</c:v>
                </c:pt>
                <c:pt idx="14">
                  <c:v>41136</c:v>
                </c:pt>
                <c:pt idx="15">
                  <c:v>41150</c:v>
                </c:pt>
                <c:pt idx="16">
                  <c:v>41164</c:v>
                </c:pt>
                <c:pt idx="17">
                  <c:v>41178</c:v>
                </c:pt>
                <c:pt idx="18">
                  <c:v>41192</c:v>
                </c:pt>
                <c:pt idx="19">
                  <c:v>41206</c:v>
                </c:pt>
                <c:pt idx="20">
                  <c:v>41220</c:v>
                </c:pt>
                <c:pt idx="21">
                  <c:v>41234</c:v>
                </c:pt>
                <c:pt idx="22">
                  <c:v>41248</c:v>
                </c:pt>
                <c:pt idx="23">
                  <c:v>41262</c:v>
                </c:pt>
                <c:pt idx="24">
                  <c:v>41276</c:v>
                </c:pt>
                <c:pt idx="25">
                  <c:v>41290</c:v>
                </c:pt>
                <c:pt idx="26">
                  <c:v>41304</c:v>
                </c:pt>
                <c:pt idx="27">
                  <c:v>41318</c:v>
                </c:pt>
                <c:pt idx="28">
                  <c:v>41332</c:v>
                </c:pt>
                <c:pt idx="29">
                  <c:v>41346</c:v>
                </c:pt>
                <c:pt idx="30">
                  <c:v>41360</c:v>
                </c:pt>
                <c:pt idx="31">
                  <c:v>41374</c:v>
                </c:pt>
                <c:pt idx="32">
                  <c:v>41388</c:v>
                </c:pt>
                <c:pt idx="33">
                  <c:v>41402</c:v>
                </c:pt>
                <c:pt idx="34">
                  <c:v>41416</c:v>
                </c:pt>
                <c:pt idx="35">
                  <c:v>41430</c:v>
                </c:pt>
                <c:pt idx="36">
                  <c:v>41444</c:v>
                </c:pt>
                <c:pt idx="37">
                  <c:v>41458</c:v>
                </c:pt>
                <c:pt idx="38">
                  <c:v>41472</c:v>
                </c:pt>
                <c:pt idx="39">
                  <c:v>41486</c:v>
                </c:pt>
                <c:pt idx="40">
                  <c:v>41500</c:v>
                </c:pt>
                <c:pt idx="41">
                  <c:v>41514</c:v>
                </c:pt>
                <c:pt idx="42">
                  <c:v>41528</c:v>
                </c:pt>
                <c:pt idx="43">
                  <c:v>41542</c:v>
                </c:pt>
                <c:pt idx="44">
                  <c:v>41556</c:v>
                </c:pt>
                <c:pt idx="45">
                  <c:v>41570</c:v>
                </c:pt>
                <c:pt idx="46">
                  <c:v>41584</c:v>
                </c:pt>
                <c:pt idx="47">
                  <c:v>41598</c:v>
                </c:pt>
                <c:pt idx="48">
                  <c:v>41612</c:v>
                </c:pt>
                <c:pt idx="49">
                  <c:v>41626</c:v>
                </c:pt>
                <c:pt idx="50">
                  <c:v>41640</c:v>
                </c:pt>
                <c:pt idx="51">
                  <c:v>41654</c:v>
                </c:pt>
                <c:pt idx="52">
                  <c:v>41668</c:v>
                </c:pt>
                <c:pt idx="53">
                  <c:v>41682</c:v>
                </c:pt>
                <c:pt idx="54">
                  <c:v>41696</c:v>
                </c:pt>
                <c:pt idx="55">
                  <c:v>41710</c:v>
                </c:pt>
                <c:pt idx="56">
                  <c:v>41724</c:v>
                </c:pt>
                <c:pt idx="57">
                  <c:v>41738</c:v>
                </c:pt>
                <c:pt idx="58">
                  <c:v>41752</c:v>
                </c:pt>
                <c:pt idx="59">
                  <c:v>41766</c:v>
                </c:pt>
                <c:pt idx="60">
                  <c:v>41780</c:v>
                </c:pt>
                <c:pt idx="61">
                  <c:v>41794</c:v>
                </c:pt>
                <c:pt idx="62">
                  <c:v>41808</c:v>
                </c:pt>
                <c:pt idx="63">
                  <c:v>41822</c:v>
                </c:pt>
                <c:pt idx="64">
                  <c:v>41836</c:v>
                </c:pt>
                <c:pt idx="65">
                  <c:v>41850</c:v>
                </c:pt>
                <c:pt idx="66">
                  <c:v>41864</c:v>
                </c:pt>
                <c:pt idx="67">
                  <c:v>41878</c:v>
                </c:pt>
                <c:pt idx="68">
                  <c:v>41892</c:v>
                </c:pt>
                <c:pt idx="69">
                  <c:v>41906</c:v>
                </c:pt>
                <c:pt idx="70">
                  <c:v>41920</c:v>
                </c:pt>
                <c:pt idx="71">
                  <c:v>41934</c:v>
                </c:pt>
                <c:pt idx="72">
                  <c:v>41948</c:v>
                </c:pt>
                <c:pt idx="73">
                  <c:v>41962</c:v>
                </c:pt>
                <c:pt idx="74">
                  <c:v>41976</c:v>
                </c:pt>
                <c:pt idx="75">
                  <c:v>41990</c:v>
                </c:pt>
                <c:pt idx="76">
                  <c:v>42004</c:v>
                </c:pt>
                <c:pt idx="77">
                  <c:v>42018</c:v>
                </c:pt>
                <c:pt idx="78">
                  <c:v>42032</c:v>
                </c:pt>
                <c:pt idx="79">
                  <c:v>42039</c:v>
                </c:pt>
                <c:pt idx="80">
                  <c:v>42046</c:v>
                </c:pt>
                <c:pt idx="81">
                  <c:v>42053</c:v>
                </c:pt>
                <c:pt idx="82">
                  <c:v>42060</c:v>
                </c:pt>
                <c:pt idx="83">
                  <c:v>42067</c:v>
                </c:pt>
                <c:pt idx="84">
                  <c:v>42074</c:v>
                </c:pt>
                <c:pt idx="85">
                  <c:v>42081</c:v>
                </c:pt>
                <c:pt idx="86">
                  <c:v>42088</c:v>
                </c:pt>
                <c:pt idx="87">
                  <c:v>42095</c:v>
                </c:pt>
                <c:pt idx="88">
                  <c:v>42102</c:v>
                </c:pt>
                <c:pt idx="89">
                  <c:v>42109</c:v>
                </c:pt>
                <c:pt idx="90">
                  <c:v>42116</c:v>
                </c:pt>
                <c:pt idx="91">
                  <c:v>42123</c:v>
                </c:pt>
                <c:pt idx="92">
                  <c:v>42130</c:v>
                </c:pt>
                <c:pt idx="93">
                  <c:v>42137</c:v>
                </c:pt>
                <c:pt idx="94">
                  <c:v>42144</c:v>
                </c:pt>
                <c:pt idx="95">
                  <c:v>42151</c:v>
                </c:pt>
                <c:pt idx="96">
                  <c:v>42158</c:v>
                </c:pt>
                <c:pt idx="97">
                  <c:v>42165</c:v>
                </c:pt>
                <c:pt idx="98">
                  <c:v>42172</c:v>
                </c:pt>
                <c:pt idx="99">
                  <c:v>42179</c:v>
                </c:pt>
                <c:pt idx="100">
                  <c:v>42186</c:v>
                </c:pt>
                <c:pt idx="101">
                  <c:v>42193</c:v>
                </c:pt>
                <c:pt idx="102">
                  <c:v>42200</c:v>
                </c:pt>
                <c:pt idx="103">
                  <c:v>42207</c:v>
                </c:pt>
                <c:pt idx="104">
                  <c:v>42214</c:v>
                </c:pt>
                <c:pt idx="105">
                  <c:v>42221</c:v>
                </c:pt>
              </c:numCache>
            </c:numRef>
          </c:cat>
          <c:val>
            <c:numRef>
              <c:f>汽車加油記錄!$K$7:$K$138</c:f>
              <c:numCache>
                <c:formatCode>0.00_ </c:formatCode>
                <c:ptCount val="132"/>
                <c:pt idx="0">
                  <c:v>12.037037037037036</c:v>
                </c:pt>
                <c:pt idx="1">
                  <c:v>12.037037037037036</c:v>
                </c:pt>
                <c:pt idx="2">
                  <c:v>12.037037037037036</c:v>
                </c:pt>
                <c:pt idx="3">
                  <c:v>12.037037037037036</c:v>
                </c:pt>
                <c:pt idx="4">
                  <c:v>12.037037037037036</c:v>
                </c:pt>
                <c:pt idx="5">
                  <c:v>12.037037037037036</c:v>
                </c:pt>
                <c:pt idx="6">
                  <c:v>12.037037037037036</c:v>
                </c:pt>
                <c:pt idx="7">
                  <c:v>12.037037037037036</c:v>
                </c:pt>
                <c:pt idx="8">
                  <c:v>12.037037037037036</c:v>
                </c:pt>
                <c:pt idx="9">
                  <c:v>12.037037037037036</c:v>
                </c:pt>
                <c:pt idx="10">
                  <c:v>12.037037037037036</c:v>
                </c:pt>
                <c:pt idx="11">
                  <c:v>12.037037037037036</c:v>
                </c:pt>
                <c:pt idx="12">
                  <c:v>12.037037037037036</c:v>
                </c:pt>
                <c:pt idx="13">
                  <c:v>12.037037037037036</c:v>
                </c:pt>
                <c:pt idx="14">
                  <c:v>12.037037037037036</c:v>
                </c:pt>
                <c:pt idx="15">
                  <c:v>12.037037037037036</c:v>
                </c:pt>
                <c:pt idx="16">
                  <c:v>12.037037037037036</c:v>
                </c:pt>
                <c:pt idx="17">
                  <c:v>12.037037037037036</c:v>
                </c:pt>
                <c:pt idx="18">
                  <c:v>12.037037037037036</c:v>
                </c:pt>
                <c:pt idx="19">
                  <c:v>12.037037037037036</c:v>
                </c:pt>
                <c:pt idx="20">
                  <c:v>12.037037037037036</c:v>
                </c:pt>
                <c:pt idx="21">
                  <c:v>12.037037037037036</c:v>
                </c:pt>
                <c:pt idx="22">
                  <c:v>12.037037037037036</c:v>
                </c:pt>
                <c:pt idx="23">
                  <c:v>12.037037037037036</c:v>
                </c:pt>
                <c:pt idx="24">
                  <c:v>12.037037037037036</c:v>
                </c:pt>
                <c:pt idx="25">
                  <c:v>12.037037037037036</c:v>
                </c:pt>
                <c:pt idx="26">
                  <c:v>12.037037037037036</c:v>
                </c:pt>
                <c:pt idx="27">
                  <c:v>12.037037037037036</c:v>
                </c:pt>
                <c:pt idx="28">
                  <c:v>12.037037037037036</c:v>
                </c:pt>
                <c:pt idx="29">
                  <c:v>12.037037037037036</c:v>
                </c:pt>
                <c:pt idx="30">
                  <c:v>12.037037037037036</c:v>
                </c:pt>
                <c:pt idx="31">
                  <c:v>12.037037037037036</c:v>
                </c:pt>
                <c:pt idx="32">
                  <c:v>12.037037037037036</c:v>
                </c:pt>
                <c:pt idx="33">
                  <c:v>12.037037037037036</c:v>
                </c:pt>
                <c:pt idx="34">
                  <c:v>12.037037037037036</c:v>
                </c:pt>
                <c:pt idx="35">
                  <c:v>12.037037037037036</c:v>
                </c:pt>
                <c:pt idx="36">
                  <c:v>12.037037037037036</c:v>
                </c:pt>
                <c:pt idx="37">
                  <c:v>12.037037037037036</c:v>
                </c:pt>
                <c:pt idx="38">
                  <c:v>12.037037037037036</c:v>
                </c:pt>
                <c:pt idx="39">
                  <c:v>12.037037037037036</c:v>
                </c:pt>
                <c:pt idx="40">
                  <c:v>12.037037037037036</c:v>
                </c:pt>
                <c:pt idx="41">
                  <c:v>12.037037037037036</c:v>
                </c:pt>
                <c:pt idx="42">
                  <c:v>12.037037037037036</c:v>
                </c:pt>
                <c:pt idx="43">
                  <c:v>12.037037037037036</c:v>
                </c:pt>
                <c:pt idx="44">
                  <c:v>12.037037037037036</c:v>
                </c:pt>
                <c:pt idx="45">
                  <c:v>12.037037037037036</c:v>
                </c:pt>
                <c:pt idx="46">
                  <c:v>12.037037037037036</c:v>
                </c:pt>
                <c:pt idx="47">
                  <c:v>12.037037037037036</c:v>
                </c:pt>
                <c:pt idx="48">
                  <c:v>12.037037037037036</c:v>
                </c:pt>
                <c:pt idx="49">
                  <c:v>12.037037037037036</c:v>
                </c:pt>
                <c:pt idx="50">
                  <c:v>12.037037037037036</c:v>
                </c:pt>
                <c:pt idx="51">
                  <c:v>12.037037037037036</c:v>
                </c:pt>
                <c:pt idx="52">
                  <c:v>12.037037037037036</c:v>
                </c:pt>
                <c:pt idx="53">
                  <c:v>12.037037037037036</c:v>
                </c:pt>
                <c:pt idx="54">
                  <c:v>12.037037037037036</c:v>
                </c:pt>
                <c:pt idx="55">
                  <c:v>12.037037037037036</c:v>
                </c:pt>
                <c:pt idx="56">
                  <c:v>12.037037037037036</c:v>
                </c:pt>
                <c:pt idx="57">
                  <c:v>12.037037037037036</c:v>
                </c:pt>
                <c:pt idx="58">
                  <c:v>12.037037037037036</c:v>
                </c:pt>
                <c:pt idx="59">
                  <c:v>12.037037037037036</c:v>
                </c:pt>
                <c:pt idx="60">
                  <c:v>12.037037037037036</c:v>
                </c:pt>
                <c:pt idx="61">
                  <c:v>12.037037037037036</c:v>
                </c:pt>
                <c:pt idx="62">
                  <c:v>12.037037037037036</c:v>
                </c:pt>
                <c:pt idx="63">
                  <c:v>12.037037037037036</c:v>
                </c:pt>
                <c:pt idx="64">
                  <c:v>12.037037037037036</c:v>
                </c:pt>
                <c:pt idx="65">
                  <c:v>12.037037037037036</c:v>
                </c:pt>
                <c:pt idx="66">
                  <c:v>12.037037037037036</c:v>
                </c:pt>
                <c:pt idx="67">
                  <c:v>12.037037037037036</c:v>
                </c:pt>
                <c:pt idx="68">
                  <c:v>12.037037037037036</c:v>
                </c:pt>
                <c:pt idx="69">
                  <c:v>12.037037037037036</c:v>
                </c:pt>
                <c:pt idx="70">
                  <c:v>12.037037037037036</c:v>
                </c:pt>
                <c:pt idx="71">
                  <c:v>12.037037037037036</c:v>
                </c:pt>
                <c:pt idx="72">
                  <c:v>12.037037037037036</c:v>
                </c:pt>
                <c:pt idx="73">
                  <c:v>12.037037037037036</c:v>
                </c:pt>
                <c:pt idx="74">
                  <c:v>12.037037037037036</c:v>
                </c:pt>
                <c:pt idx="75">
                  <c:v>12.037037037037036</c:v>
                </c:pt>
                <c:pt idx="76">
                  <c:v>12.037037037037036</c:v>
                </c:pt>
                <c:pt idx="77">
                  <c:v>12.037037037037036</c:v>
                </c:pt>
                <c:pt idx="78">
                  <c:v>12.037037037037036</c:v>
                </c:pt>
                <c:pt idx="79">
                  <c:v>12.037037037037036</c:v>
                </c:pt>
                <c:pt idx="80">
                  <c:v>12.037037037037036</c:v>
                </c:pt>
                <c:pt idx="81">
                  <c:v>12.037037037037036</c:v>
                </c:pt>
                <c:pt idx="82">
                  <c:v>12.037037037037036</c:v>
                </c:pt>
                <c:pt idx="83">
                  <c:v>12.037037037037036</c:v>
                </c:pt>
                <c:pt idx="84">
                  <c:v>12.037037037037036</c:v>
                </c:pt>
                <c:pt idx="85">
                  <c:v>12.037037037037036</c:v>
                </c:pt>
                <c:pt idx="86">
                  <c:v>12.037037037037036</c:v>
                </c:pt>
                <c:pt idx="87">
                  <c:v>12.037037037037036</c:v>
                </c:pt>
                <c:pt idx="88">
                  <c:v>12.037037037037036</c:v>
                </c:pt>
                <c:pt idx="89">
                  <c:v>12.037037037037036</c:v>
                </c:pt>
                <c:pt idx="90">
                  <c:v>12.037037037037036</c:v>
                </c:pt>
                <c:pt idx="91">
                  <c:v>12.037037037037036</c:v>
                </c:pt>
                <c:pt idx="92">
                  <c:v>12.037037037037036</c:v>
                </c:pt>
                <c:pt idx="93">
                  <c:v>12.037037037037036</c:v>
                </c:pt>
                <c:pt idx="94">
                  <c:v>12.037037037037036</c:v>
                </c:pt>
                <c:pt idx="95">
                  <c:v>12.037037037037036</c:v>
                </c:pt>
                <c:pt idx="96">
                  <c:v>12.037037037037036</c:v>
                </c:pt>
                <c:pt idx="97">
                  <c:v>12.037037037037036</c:v>
                </c:pt>
                <c:pt idx="98">
                  <c:v>12.037037037037036</c:v>
                </c:pt>
                <c:pt idx="99">
                  <c:v>12.037037037037036</c:v>
                </c:pt>
                <c:pt idx="100">
                  <c:v>12.037037037037036</c:v>
                </c:pt>
                <c:pt idx="101">
                  <c:v>12.037037037037036</c:v>
                </c:pt>
                <c:pt idx="102">
                  <c:v>12.037037037037036</c:v>
                </c:pt>
                <c:pt idx="103">
                  <c:v>12.037037037037036</c:v>
                </c:pt>
                <c:pt idx="104">
                  <c:v>12.037037037037036</c:v>
                </c:pt>
                <c:pt idx="105">
                  <c:v>12.037037037037036</c:v>
                </c:pt>
                <c:pt idx="106">
                  <c:v>12.037037037037036</c:v>
                </c:pt>
                <c:pt idx="107">
                  <c:v>12.037037037037036</c:v>
                </c:pt>
                <c:pt idx="108">
                  <c:v>12.037037037037036</c:v>
                </c:pt>
                <c:pt idx="109">
                  <c:v>12.037037037037036</c:v>
                </c:pt>
                <c:pt idx="110">
                  <c:v>12.037037037037036</c:v>
                </c:pt>
                <c:pt idx="111">
                  <c:v>12.037037037037036</c:v>
                </c:pt>
                <c:pt idx="112">
                  <c:v>12.037037037037036</c:v>
                </c:pt>
                <c:pt idx="113">
                  <c:v>12.037037037037036</c:v>
                </c:pt>
                <c:pt idx="114">
                  <c:v>12.037037037037036</c:v>
                </c:pt>
                <c:pt idx="115">
                  <c:v>12.037037037037036</c:v>
                </c:pt>
                <c:pt idx="116">
                  <c:v>12.037037037037036</c:v>
                </c:pt>
                <c:pt idx="117">
                  <c:v>12.037037037037036</c:v>
                </c:pt>
                <c:pt idx="118">
                  <c:v>12.037037037037036</c:v>
                </c:pt>
                <c:pt idx="119">
                  <c:v>12.037037037037036</c:v>
                </c:pt>
                <c:pt idx="120">
                  <c:v>12.037037037037036</c:v>
                </c:pt>
                <c:pt idx="121">
                  <c:v>12.037037037037036</c:v>
                </c:pt>
                <c:pt idx="122">
                  <c:v>12.037037037037036</c:v>
                </c:pt>
                <c:pt idx="123">
                  <c:v>12.037037037037036</c:v>
                </c:pt>
                <c:pt idx="124">
                  <c:v>12.037037037037036</c:v>
                </c:pt>
                <c:pt idx="125">
                  <c:v>12.037037037037036</c:v>
                </c:pt>
                <c:pt idx="126">
                  <c:v>12.037037037037036</c:v>
                </c:pt>
                <c:pt idx="127">
                  <c:v>12.037037037037036</c:v>
                </c:pt>
                <c:pt idx="128">
                  <c:v>12.037037037037036</c:v>
                </c:pt>
                <c:pt idx="129">
                  <c:v>12.037037037037036</c:v>
                </c:pt>
                <c:pt idx="130">
                  <c:v>12.037037037037036</c:v>
                </c:pt>
                <c:pt idx="131">
                  <c:v>12.037037037037036</c:v>
                </c:pt>
              </c:numCache>
            </c:numRef>
          </c:val>
        </c:ser>
        <c:ser>
          <c:idx val="2"/>
          <c:order val="2"/>
          <c:tx>
            <c:v>Down 5 Limit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delete val="1"/>
          </c:dLbls>
          <c:cat>
            <c:numRef>
              <c:f>汽車加油記錄!$C$7:$C$138</c:f>
              <c:numCache>
                <c:formatCode>mm/dd/yy;@</c:formatCode>
                <c:ptCount val="132"/>
                <c:pt idx="0">
                  <c:v>40179</c:v>
                </c:pt>
                <c:pt idx="1">
                  <c:v>40589</c:v>
                </c:pt>
                <c:pt idx="2">
                  <c:v>40968</c:v>
                </c:pt>
                <c:pt idx="3">
                  <c:v>40982</c:v>
                </c:pt>
                <c:pt idx="4">
                  <c:v>40996</c:v>
                </c:pt>
                <c:pt idx="5">
                  <c:v>41010</c:v>
                </c:pt>
                <c:pt idx="6">
                  <c:v>41024</c:v>
                </c:pt>
                <c:pt idx="7">
                  <c:v>41038</c:v>
                </c:pt>
                <c:pt idx="8">
                  <c:v>41052</c:v>
                </c:pt>
                <c:pt idx="9">
                  <c:v>41066</c:v>
                </c:pt>
                <c:pt idx="10">
                  <c:v>41080</c:v>
                </c:pt>
                <c:pt idx="11">
                  <c:v>41094</c:v>
                </c:pt>
                <c:pt idx="12">
                  <c:v>41108</c:v>
                </c:pt>
                <c:pt idx="13">
                  <c:v>41122</c:v>
                </c:pt>
                <c:pt idx="14">
                  <c:v>41136</c:v>
                </c:pt>
                <c:pt idx="15">
                  <c:v>41150</c:v>
                </c:pt>
                <c:pt idx="16">
                  <c:v>41164</c:v>
                </c:pt>
                <c:pt idx="17">
                  <c:v>41178</c:v>
                </c:pt>
                <c:pt idx="18">
                  <c:v>41192</c:v>
                </c:pt>
                <c:pt idx="19">
                  <c:v>41206</c:v>
                </c:pt>
                <c:pt idx="20">
                  <c:v>41220</c:v>
                </c:pt>
                <c:pt idx="21">
                  <c:v>41234</c:v>
                </c:pt>
                <c:pt idx="22">
                  <c:v>41248</c:v>
                </c:pt>
                <c:pt idx="23">
                  <c:v>41262</c:v>
                </c:pt>
                <c:pt idx="24">
                  <c:v>41276</c:v>
                </c:pt>
                <c:pt idx="25">
                  <c:v>41290</c:v>
                </c:pt>
                <c:pt idx="26">
                  <c:v>41304</c:v>
                </c:pt>
                <c:pt idx="27">
                  <c:v>41318</c:v>
                </c:pt>
                <c:pt idx="28">
                  <c:v>41332</c:v>
                </c:pt>
                <c:pt idx="29">
                  <c:v>41346</c:v>
                </c:pt>
                <c:pt idx="30">
                  <c:v>41360</c:v>
                </c:pt>
                <c:pt idx="31">
                  <c:v>41374</c:v>
                </c:pt>
                <c:pt idx="32">
                  <c:v>41388</c:v>
                </c:pt>
                <c:pt idx="33">
                  <c:v>41402</c:v>
                </c:pt>
                <c:pt idx="34">
                  <c:v>41416</c:v>
                </c:pt>
                <c:pt idx="35">
                  <c:v>41430</c:v>
                </c:pt>
                <c:pt idx="36">
                  <c:v>41444</c:v>
                </c:pt>
                <c:pt idx="37">
                  <c:v>41458</c:v>
                </c:pt>
                <c:pt idx="38">
                  <c:v>41472</c:v>
                </c:pt>
                <c:pt idx="39">
                  <c:v>41486</c:v>
                </c:pt>
                <c:pt idx="40">
                  <c:v>41500</c:v>
                </c:pt>
                <c:pt idx="41">
                  <c:v>41514</c:v>
                </c:pt>
                <c:pt idx="42">
                  <c:v>41528</c:v>
                </c:pt>
                <c:pt idx="43">
                  <c:v>41542</c:v>
                </c:pt>
                <c:pt idx="44">
                  <c:v>41556</c:v>
                </c:pt>
                <c:pt idx="45">
                  <c:v>41570</c:v>
                </c:pt>
                <c:pt idx="46">
                  <c:v>41584</c:v>
                </c:pt>
                <c:pt idx="47">
                  <c:v>41598</c:v>
                </c:pt>
                <c:pt idx="48">
                  <c:v>41612</c:v>
                </c:pt>
                <c:pt idx="49">
                  <c:v>41626</c:v>
                </c:pt>
                <c:pt idx="50">
                  <c:v>41640</c:v>
                </c:pt>
                <c:pt idx="51">
                  <c:v>41654</c:v>
                </c:pt>
                <c:pt idx="52">
                  <c:v>41668</c:v>
                </c:pt>
                <c:pt idx="53">
                  <c:v>41682</c:v>
                </c:pt>
                <c:pt idx="54">
                  <c:v>41696</c:v>
                </c:pt>
                <c:pt idx="55">
                  <c:v>41710</c:v>
                </c:pt>
                <c:pt idx="56">
                  <c:v>41724</c:v>
                </c:pt>
                <c:pt idx="57">
                  <c:v>41738</c:v>
                </c:pt>
                <c:pt idx="58">
                  <c:v>41752</c:v>
                </c:pt>
                <c:pt idx="59">
                  <c:v>41766</c:v>
                </c:pt>
                <c:pt idx="60">
                  <c:v>41780</c:v>
                </c:pt>
                <c:pt idx="61">
                  <c:v>41794</c:v>
                </c:pt>
                <c:pt idx="62">
                  <c:v>41808</c:v>
                </c:pt>
                <c:pt idx="63">
                  <c:v>41822</c:v>
                </c:pt>
                <c:pt idx="64">
                  <c:v>41836</c:v>
                </c:pt>
                <c:pt idx="65">
                  <c:v>41850</c:v>
                </c:pt>
                <c:pt idx="66">
                  <c:v>41864</c:v>
                </c:pt>
                <c:pt idx="67">
                  <c:v>41878</c:v>
                </c:pt>
                <c:pt idx="68">
                  <c:v>41892</c:v>
                </c:pt>
                <c:pt idx="69">
                  <c:v>41906</c:v>
                </c:pt>
                <c:pt idx="70">
                  <c:v>41920</c:v>
                </c:pt>
                <c:pt idx="71">
                  <c:v>41934</c:v>
                </c:pt>
                <c:pt idx="72">
                  <c:v>41948</c:v>
                </c:pt>
                <c:pt idx="73">
                  <c:v>41962</c:v>
                </c:pt>
                <c:pt idx="74">
                  <c:v>41976</c:v>
                </c:pt>
                <c:pt idx="75">
                  <c:v>41990</c:v>
                </c:pt>
                <c:pt idx="76">
                  <c:v>42004</c:v>
                </c:pt>
                <c:pt idx="77">
                  <c:v>42018</c:v>
                </c:pt>
                <c:pt idx="78">
                  <c:v>42032</c:v>
                </c:pt>
                <c:pt idx="79">
                  <c:v>42039</c:v>
                </c:pt>
                <c:pt idx="80">
                  <c:v>42046</c:v>
                </c:pt>
                <c:pt idx="81">
                  <c:v>42053</c:v>
                </c:pt>
                <c:pt idx="82">
                  <c:v>42060</c:v>
                </c:pt>
                <c:pt idx="83">
                  <c:v>42067</c:v>
                </c:pt>
                <c:pt idx="84">
                  <c:v>42074</c:v>
                </c:pt>
                <c:pt idx="85">
                  <c:v>42081</c:v>
                </c:pt>
                <c:pt idx="86">
                  <c:v>42088</c:v>
                </c:pt>
                <c:pt idx="87">
                  <c:v>42095</c:v>
                </c:pt>
                <c:pt idx="88">
                  <c:v>42102</c:v>
                </c:pt>
                <c:pt idx="89">
                  <c:v>42109</c:v>
                </c:pt>
                <c:pt idx="90">
                  <c:v>42116</c:v>
                </c:pt>
                <c:pt idx="91">
                  <c:v>42123</c:v>
                </c:pt>
                <c:pt idx="92">
                  <c:v>42130</c:v>
                </c:pt>
                <c:pt idx="93">
                  <c:v>42137</c:v>
                </c:pt>
                <c:pt idx="94">
                  <c:v>42144</c:v>
                </c:pt>
                <c:pt idx="95">
                  <c:v>42151</c:v>
                </c:pt>
                <c:pt idx="96">
                  <c:v>42158</c:v>
                </c:pt>
                <c:pt idx="97">
                  <c:v>42165</c:v>
                </c:pt>
                <c:pt idx="98">
                  <c:v>42172</c:v>
                </c:pt>
                <c:pt idx="99">
                  <c:v>42179</c:v>
                </c:pt>
                <c:pt idx="100">
                  <c:v>42186</c:v>
                </c:pt>
                <c:pt idx="101">
                  <c:v>42193</c:v>
                </c:pt>
                <c:pt idx="102">
                  <c:v>42200</c:v>
                </c:pt>
                <c:pt idx="103">
                  <c:v>42207</c:v>
                </c:pt>
                <c:pt idx="104">
                  <c:v>42214</c:v>
                </c:pt>
                <c:pt idx="105">
                  <c:v>42221</c:v>
                </c:pt>
              </c:numCache>
            </c:numRef>
          </c:cat>
          <c:val>
            <c:numRef>
              <c:f>汽車加油記錄!$L$7:$L$138</c:f>
              <c:numCache>
                <c:formatCode>0.00_ </c:formatCode>
                <c:ptCount val="132"/>
                <c:pt idx="0">
                  <c:v>9.2601916100371842</c:v>
                </c:pt>
                <c:pt idx="1">
                  <c:v>9.2601916100371842</c:v>
                </c:pt>
                <c:pt idx="2">
                  <c:v>9.2601916100371842</c:v>
                </c:pt>
                <c:pt idx="3">
                  <c:v>9.2601916100371842</c:v>
                </c:pt>
                <c:pt idx="4">
                  <c:v>9.2601916100371842</c:v>
                </c:pt>
                <c:pt idx="5">
                  <c:v>9.2601916100371842</c:v>
                </c:pt>
                <c:pt idx="6">
                  <c:v>9.2601916100371842</c:v>
                </c:pt>
                <c:pt idx="7">
                  <c:v>9.2601916100371842</c:v>
                </c:pt>
                <c:pt idx="8">
                  <c:v>9.2601916100371842</c:v>
                </c:pt>
                <c:pt idx="9">
                  <c:v>9.2601916100371842</c:v>
                </c:pt>
                <c:pt idx="10">
                  <c:v>9.2601916100371842</c:v>
                </c:pt>
                <c:pt idx="11">
                  <c:v>9.2601916100371842</c:v>
                </c:pt>
                <c:pt idx="12">
                  <c:v>9.2601916100371842</c:v>
                </c:pt>
                <c:pt idx="13">
                  <c:v>9.2601916100371842</c:v>
                </c:pt>
                <c:pt idx="14">
                  <c:v>9.2601916100371842</c:v>
                </c:pt>
                <c:pt idx="15">
                  <c:v>9.2601916100371842</c:v>
                </c:pt>
                <c:pt idx="16">
                  <c:v>9.2601916100371842</c:v>
                </c:pt>
                <c:pt idx="17">
                  <c:v>9.2601916100371842</c:v>
                </c:pt>
                <c:pt idx="18">
                  <c:v>9.2601916100371842</c:v>
                </c:pt>
                <c:pt idx="19">
                  <c:v>9.2601916100371842</c:v>
                </c:pt>
                <c:pt idx="20">
                  <c:v>9.2601916100371842</c:v>
                </c:pt>
                <c:pt idx="21">
                  <c:v>9.2601916100371842</c:v>
                </c:pt>
                <c:pt idx="22">
                  <c:v>9.2601916100371842</c:v>
                </c:pt>
                <c:pt idx="23">
                  <c:v>9.2601916100371842</c:v>
                </c:pt>
                <c:pt idx="24">
                  <c:v>9.2601916100371842</c:v>
                </c:pt>
                <c:pt idx="25">
                  <c:v>9.2601916100371842</c:v>
                </c:pt>
                <c:pt idx="26">
                  <c:v>9.2601916100371842</c:v>
                </c:pt>
                <c:pt idx="27">
                  <c:v>9.2601916100371842</c:v>
                </c:pt>
                <c:pt idx="28">
                  <c:v>9.2601916100371842</c:v>
                </c:pt>
                <c:pt idx="29">
                  <c:v>9.2601916100371842</c:v>
                </c:pt>
                <c:pt idx="30">
                  <c:v>9.2601916100371842</c:v>
                </c:pt>
                <c:pt idx="31">
                  <c:v>9.2601916100371842</c:v>
                </c:pt>
                <c:pt idx="32">
                  <c:v>9.2601916100371842</c:v>
                </c:pt>
                <c:pt idx="33">
                  <c:v>9.2601916100371842</c:v>
                </c:pt>
                <c:pt idx="34">
                  <c:v>9.2601916100371842</c:v>
                </c:pt>
                <c:pt idx="35">
                  <c:v>9.2601916100371842</c:v>
                </c:pt>
                <c:pt idx="36">
                  <c:v>9.2601916100371842</c:v>
                </c:pt>
                <c:pt idx="37">
                  <c:v>9.2601916100371842</c:v>
                </c:pt>
                <c:pt idx="38">
                  <c:v>9.2601916100371842</c:v>
                </c:pt>
                <c:pt idx="39">
                  <c:v>9.2601916100371842</c:v>
                </c:pt>
                <c:pt idx="40">
                  <c:v>9.2601916100371842</c:v>
                </c:pt>
                <c:pt idx="41">
                  <c:v>9.2601916100371842</c:v>
                </c:pt>
                <c:pt idx="42">
                  <c:v>9.2601916100371842</c:v>
                </c:pt>
                <c:pt idx="43">
                  <c:v>9.2601916100371842</c:v>
                </c:pt>
                <c:pt idx="44">
                  <c:v>9.2601916100371842</c:v>
                </c:pt>
                <c:pt idx="45">
                  <c:v>9.2601916100371842</c:v>
                </c:pt>
                <c:pt idx="46">
                  <c:v>9.2601916100371842</c:v>
                </c:pt>
                <c:pt idx="47">
                  <c:v>9.2601916100371842</c:v>
                </c:pt>
                <c:pt idx="48">
                  <c:v>9.2601916100371842</c:v>
                </c:pt>
                <c:pt idx="49">
                  <c:v>9.2601916100371842</c:v>
                </c:pt>
                <c:pt idx="50">
                  <c:v>9.2601916100371842</c:v>
                </c:pt>
                <c:pt idx="51">
                  <c:v>9.2601916100371842</c:v>
                </c:pt>
                <c:pt idx="52">
                  <c:v>9.2601916100371842</c:v>
                </c:pt>
                <c:pt idx="53">
                  <c:v>9.2601916100371842</c:v>
                </c:pt>
                <c:pt idx="54">
                  <c:v>9.2601916100371842</c:v>
                </c:pt>
                <c:pt idx="55">
                  <c:v>9.2601916100371842</c:v>
                </c:pt>
                <c:pt idx="56">
                  <c:v>9.2601916100371842</c:v>
                </c:pt>
                <c:pt idx="57">
                  <c:v>9.2601916100371842</c:v>
                </c:pt>
                <c:pt idx="58">
                  <c:v>9.2601916100371842</c:v>
                </c:pt>
                <c:pt idx="59">
                  <c:v>9.2601916100371842</c:v>
                </c:pt>
                <c:pt idx="60">
                  <c:v>9.2601916100371842</c:v>
                </c:pt>
                <c:pt idx="61">
                  <c:v>9.2601916100371842</c:v>
                </c:pt>
                <c:pt idx="62">
                  <c:v>9.2601916100371842</c:v>
                </c:pt>
                <c:pt idx="63">
                  <c:v>9.2601916100371842</c:v>
                </c:pt>
                <c:pt idx="64">
                  <c:v>9.2601916100371842</c:v>
                </c:pt>
                <c:pt idx="65">
                  <c:v>9.2601916100371842</c:v>
                </c:pt>
                <c:pt idx="66">
                  <c:v>9.2601916100371842</c:v>
                </c:pt>
                <c:pt idx="67">
                  <c:v>9.2601916100371842</c:v>
                </c:pt>
                <c:pt idx="68">
                  <c:v>9.2601916100371842</c:v>
                </c:pt>
                <c:pt idx="69">
                  <c:v>9.2601916100371842</c:v>
                </c:pt>
                <c:pt idx="70">
                  <c:v>9.2601916100371842</c:v>
                </c:pt>
                <c:pt idx="71">
                  <c:v>9.2601916100371842</c:v>
                </c:pt>
                <c:pt idx="72">
                  <c:v>9.2601916100371842</c:v>
                </c:pt>
                <c:pt idx="73">
                  <c:v>9.2601916100371842</c:v>
                </c:pt>
                <c:pt idx="74">
                  <c:v>9.2601916100371842</c:v>
                </c:pt>
                <c:pt idx="75">
                  <c:v>9.2601916100371842</c:v>
                </c:pt>
                <c:pt idx="76">
                  <c:v>9.2601916100371842</c:v>
                </c:pt>
                <c:pt idx="77">
                  <c:v>9.2601916100371842</c:v>
                </c:pt>
                <c:pt idx="78">
                  <c:v>9.2601916100371842</c:v>
                </c:pt>
                <c:pt idx="79">
                  <c:v>9.2601916100371842</c:v>
                </c:pt>
                <c:pt idx="80">
                  <c:v>9.2601916100371842</c:v>
                </c:pt>
                <c:pt idx="81">
                  <c:v>9.2601916100371842</c:v>
                </c:pt>
                <c:pt idx="82">
                  <c:v>9.2601916100371842</c:v>
                </c:pt>
                <c:pt idx="83">
                  <c:v>9.2601916100371842</c:v>
                </c:pt>
                <c:pt idx="84">
                  <c:v>9.2601916100371842</c:v>
                </c:pt>
                <c:pt idx="85">
                  <c:v>9.2601916100371842</c:v>
                </c:pt>
                <c:pt idx="86">
                  <c:v>9.2601916100371842</c:v>
                </c:pt>
                <c:pt idx="87">
                  <c:v>9.2601916100371842</c:v>
                </c:pt>
                <c:pt idx="88">
                  <c:v>9.2601916100371842</c:v>
                </c:pt>
                <c:pt idx="89">
                  <c:v>9.2601916100371842</c:v>
                </c:pt>
                <c:pt idx="90">
                  <c:v>9.2601916100371842</c:v>
                </c:pt>
                <c:pt idx="91">
                  <c:v>9.2601916100371842</c:v>
                </c:pt>
                <c:pt idx="92">
                  <c:v>9.2601916100371842</c:v>
                </c:pt>
                <c:pt idx="93">
                  <c:v>9.2601916100371842</c:v>
                </c:pt>
                <c:pt idx="94">
                  <c:v>9.2601916100371842</c:v>
                </c:pt>
                <c:pt idx="95">
                  <c:v>9.2601916100371842</c:v>
                </c:pt>
                <c:pt idx="96">
                  <c:v>9.2601916100371842</c:v>
                </c:pt>
                <c:pt idx="97">
                  <c:v>9.2601916100371842</c:v>
                </c:pt>
                <c:pt idx="98">
                  <c:v>9.2601916100371842</c:v>
                </c:pt>
                <c:pt idx="99">
                  <c:v>9.2601916100371842</c:v>
                </c:pt>
                <c:pt idx="100">
                  <c:v>9.2601916100371842</c:v>
                </c:pt>
                <c:pt idx="101">
                  <c:v>9.2601916100371842</c:v>
                </c:pt>
                <c:pt idx="102">
                  <c:v>9.2601916100371842</c:v>
                </c:pt>
                <c:pt idx="103">
                  <c:v>9.2601916100371842</c:v>
                </c:pt>
                <c:pt idx="104">
                  <c:v>9.2601916100371842</c:v>
                </c:pt>
                <c:pt idx="105">
                  <c:v>9.2601916100371842</c:v>
                </c:pt>
                <c:pt idx="106">
                  <c:v>9.2601916100371842</c:v>
                </c:pt>
                <c:pt idx="107">
                  <c:v>9.2601916100371842</c:v>
                </c:pt>
                <c:pt idx="108">
                  <c:v>9.2601916100371842</c:v>
                </c:pt>
                <c:pt idx="109">
                  <c:v>9.2601916100371842</c:v>
                </c:pt>
                <c:pt idx="110">
                  <c:v>9.2601916100371842</c:v>
                </c:pt>
                <c:pt idx="111">
                  <c:v>9.2601916100371842</c:v>
                </c:pt>
                <c:pt idx="112">
                  <c:v>9.2601916100371842</c:v>
                </c:pt>
                <c:pt idx="113">
                  <c:v>9.2601916100371842</c:v>
                </c:pt>
                <c:pt idx="114">
                  <c:v>9.2601916100371842</c:v>
                </c:pt>
                <c:pt idx="115">
                  <c:v>9.2601916100371842</c:v>
                </c:pt>
                <c:pt idx="116">
                  <c:v>9.2601916100371842</c:v>
                </c:pt>
                <c:pt idx="117">
                  <c:v>9.2601916100371842</c:v>
                </c:pt>
                <c:pt idx="118">
                  <c:v>9.2601916100371842</c:v>
                </c:pt>
                <c:pt idx="119">
                  <c:v>9.2601916100371842</c:v>
                </c:pt>
                <c:pt idx="120">
                  <c:v>9.2601916100371842</c:v>
                </c:pt>
                <c:pt idx="121">
                  <c:v>9.2601916100371842</c:v>
                </c:pt>
                <c:pt idx="122">
                  <c:v>9.2601916100371842</c:v>
                </c:pt>
                <c:pt idx="123">
                  <c:v>9.2601916100371842</c:v>
                </c:pt>
                <c:pt idx="124">
                  <c:v>9.2601916100371842</c:v>
                </c:pt>
                <c:pt idx="125">
                  <c:v>9.2601916100371842</c:v>
                </c:pt>
                <c:pt idx="126">
                  <c:v>9.2601916100371842</c:v>
                </c:pt>
                <c:pt idx="127">
                  <c:v>9.2601916100371842</c:v>
                </c:pt>
                <c:pt idx="128">
                  <c:v>9.2601916100371842</c:v>
                </c:pt>
                <c:pt idx="129">
                  <c:v>9.2601916100371842</c:v>
                </c:pt>
                <c:pt idx="130">
                  <c:v>9.2601916100371842</c:v>
                </c:pt>
                <c:pt idx="131">
                  <c:v>9.2601916100371842</c:v>
                </c:pt>
              </c:numCache>
            </c:numRef>
          </c:val>
        </c:ser>
        <c:ser>
          <c:idx val="3"/>
          <c:order val="3"/>
          <c:tx>
            <c:v>Total AVG</c:v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dLbls>
            <c:delete val="1"/>
          </c:dLbls>
          <c:cat>
            <c:numRef>
              <c:f>汽車加油記錄!$C$7:$C$138</c:f>
              <c:numCache>
                <c:formatCode>mm/dd/yy;@</c:formatCode>
                <c:ptCount val="132"/>
                <c:pt idx="0">
                  <c:v>40179</c:v>
                </c:pt>
                <c:pt idx="1">
                  <c:v>40589</c:v>
                </c:pt>
                <c:pt idx="2">
                  <c:v>40968</c:v>
                </c:pt>
                <c:pt idx="3">
                  <c:v>40982</c:v>
                </c:pt>
                <c:pt idx="4">
                  <c:v>40996</c:v>
                </c:pt>
                <c:pt idx="5">
                  <c:v>41010</c:v>
                </c:pt>
                <c:pt idx="6">
                  <c:v>41024</c:v>
                </c:pt>
                <c:pt idx="7">
                  <c:v>41038</c:v>
                </c:pt>
                <c:pt idx="8">
                  <c:v>41052</c:v>
                </c:pt>
                <c:pt idx="9">
                  <c:v>41066</c:v>
                </c:pt>
                <c:pt idx="10">
                  <c:v>41080</c:v>
                </c:pt>
                <c:pt idx="11">
                  <c:v>41094</c:v>
                </c:pt>
                <c:pt idx="12">
                  <c:v>41108</c:v>
                </c:pt>
                <c:pt idx="13">
                  <c:v>41122</c:v>
                </c:pt>
                <c:pt idx="14">
                  <c:v>41136</c:v>
                </c:pt>
                <c:pt idx="15">
                  <c:v>41150</c:v>
                </c:pt>
                <c:pt idx="16">
                  <c:v>41164</c:v>
                </c:pt>
                <c:pt idx="17">
                  <c:v>41178</c:v>
                </c:pt>
                <c:pt idx="18">
                  <c:v>41192</c:v>
                </c:pt>
                <c:pt idx="19">
                  <c:v>41206</c:v>
                </c:pt>
                <c:pt idx="20">
                  <c:v>41220</c:v>
                </c:pt>
                <c:pt idx="21">
                  <c:v>41234</c:v>
                </c:pt>
                <c:pt idx="22">
                  <c:v>41248</c:v>
                </c:pt>
                <c:pt idx="23">
                  <c:v>41262</c:v>
                </c:pt>
                <c:pt idx="24">
                  <c:v>41276</c:v>
                </c:pt>
                <c:pt idx="25">
                  <c:v>41290</c:v>
                </c:pt>
                <c:pt idx="26">
                  <c:v>41304</c:v>
                </c:pt>
                <c:pt idx="27">
                  <c:v>41318</c:v>
                </c:pt>
                <c:pt idx="28">
                  <c:v>41332</c:v>
                </c:pt>
                <c:pt idx="29">
                  <c:v>41346</c:v>
                </c:pt>
                <c:pt idx="30">
                  <c:v>41360</c:v>
                </c:pt>
                <c:pt idx="31">
                  <c:v>41374</c:v>
                </c:pt>
                <c:pt idx="32">
                  <c:v>41388</c:v>
                </c:pt>
                <c:pt idx="33">
                  <c:v>41402</c:v>
                </c:pt>
                <c:pt idx="34">
                  <c:v>41416</c:v>
                </c:pt>
                <c:pt idx="35">
                  <c:v>41430</c:v>
                </c:pt>
                <c:pt idx="36">
                  <c:v>41444</c:v>
                </c:pt>
                <c:pt idx="37">
                  <c:v>41458</c:v>
                </c:pt>
                <c:pt idx="38">
                  <c:v>41472</c:v>
                </c:pt>
                <c:pt idx="39">
                  <c:v>41486</c:v>
                </c:pt>
                <c:pt idx="40">
                  <c:v>41500</c:v>
                </c:pt>
                <c:pt idx="41">
                  <c:v>41514</c:v>
                </c:pt>
                <c:pt idx="42">
                  <c:v>41528</c:v>
                </c:pt>
                <c:pt idx="43">
                  <c:v>41542</c:v>
                </c:pt>
                <c:pt idx="44">
                  <c:v>41556</c:v>
                </c:pt>
                <c:pt idx="45">
                  <c:v>41570</c:v>
                </c:pt>
                <c:pt idx="46">
                  <c:v>41584</c:v>
                </c:pt>
                <c:pt idx="47">
                  <c:v>41598</c:v>
                </c:pt>
                <c:pt idx="48">
                  <c:v>41612</c:v>
                </c:pt>
                <c:pt idx="49">
                  <c:v>41626</c:v>
                </c:pt>
                <c:pt idx="50">
                  <c:v>41640</c:v>
                </c:pt>
                <c:pt idx="51">
                  <c:v>41654</c:v>
                </c:pt>
                <c:pt idx="52">
                  <c:v>41668</c:v>
                </c:pt>
                <c:pt idx="53">
                  <c:v>41682</c:v>
                </c:pt>
                <c:pt idx="54">
                  <c:v>41696</c:v>
                </c:pt>
                <c:pt idx="55">
                  <c:v>41710</c:v>
                </c:pt>
                <c:pt idx="56">
                  <c:v>41724</c:v>
                </c:pt>
                <c:pt idx="57">
                  <c:v>41738</c:v>
                </c:pt>
                <c:pt idx="58">
                  <c:v>41752</c:v>
                </c:pt>
                <c:pt idx="59">
                  <c:v>41766</c:v>
                </c:pt>
                <c:pt idx="60">
                  <c:v>41780</c:v>
                </c:pt>
                <c:pt idx="61">
                  <c:v>41794</c:v>
                </c:pt>
                <c:pt idx="62">
                  <c:v>41808</c:v>
                </c:pt>
                <c:pt idx="63">
                  <c:v>41822</c:v>
                </c:pt>
                <c:pt idx="64">
                  <c:v>41836</c:v>
                </c:pt>
                <c:pt idx="65">
                  <c:v>41850</c:v>
                </c:pt>
                <c:pt idx="66">
                  <c:v>41864</c:v>
                </c:pt>
                <c:pt idx="67">
                  <c:v>41878</c:v>
                </c:pt>
                <c:pt idx="68">
                  <c:v>41892</c:v>
                </c:pt>
                <c:pt idx="69">
                  <c:v>41906</c:v>
                </c:pt>
                <c:pt idx="70">
                  <c:v>41920</c:v>
                </c:pt>
                <c:pt idx="71">
                  <c:v>41934</c:v>
                </c:pt>
                <c:pt idx="72">
                  <c:v>41948</c:v>
                </c:pt>
                <c:pt idx="73">
                  <c:v>41962</c:v>
                </c:pt>
                <c:pt idx="74">
                  <c:v>41976</c:v>
                </c:pt>
                <c:pt idx="75">
                  <c:v>41990</c:v>
                </c:pt>
                <c:pt idx="76">
                  <c:v>42004</c:v>
                </c:pt>
                <c:pt idx="77">
                  <c:v>42018</c:v>
                </c:pt>
                <c:pt idx="78">
                  <c:v>42032</c:v>
                </c:pt>
                <c:pt idx="79">
                  <c:v>42039</c:v>
                </c:pt>
                <c:pt idx="80">
                  <c:v>42046</c:v>
                </c:pt>
                <c:pt idx="81">
                  <c:v>42053</c:v>
                </c:pt>
                <c:pt idx="82">
                  <c:v>42060</c:v>
                </c:pt>
                <c:pt idx="83">
                  <c:v>42067</c:v>
                </c:pt>
                <c:pt idx="84">
                  <c:v>42074</c:v>
                </c:pt>
                <c:pt idx="85">
                  <c:v>42081</c:v>
                </c:pt>
                <c:pt idx="86">
                  <c:v>42088</c:v>
                </c:pt>
                <c:pt idx="87">
                  <c:v>42095</c:v>
                </c:pt>
                <c:pt idx="88">
                  <c:v>42102</c:v>
                </c:pt>
                <c:pt idx="89">
                  <c:v>42109</c:v>
                </c:pt>
                <c:pt idx="90">
                  <c:v>42116</c:v>
                </c:pt>
                <c:pt idx="91">
                  <c:v>42123</c:v>
                </c:pt>
                <c:pt idx="92">
                  <c:v>42130</c:v>
                </c:pt>
                <c:pt idx="93">
                  <c:v>42137</c:v>
                </c:pt>
                <c:pt idx="94">
                  <c:v>42144</c:v>
                </c:pt>
                <c:pt idx="95">
                  <c:v>42151</c:v>
                </c:pt>
                <c:pt idx="96">
                  <c:v>42158</c:v>
                </c:pt>
                <c:pt idx="97">
                  <c:v>42165</c:v>
                </c:pt>
                <c:pt idx="98">
                  <c:v>42172</c:v>
                </c:pt>
                <c:pt idx="99">
                  <c:v>42179</c:v>
                </c:pt>
                <c:pt idx="100">
                  <c:v>42186</c:v>
                </c:pt>
                <c:pt idx="101">
                  <c:v>42193</c:v>
                </c:pt>
                <c:pt idx="102">
                  <c:v>42200</c:v>
                </c:pt>
                <c:pt idx="103">
                  <c:v>42207</c:v>
                </c:pt>
                <c:pt idx="104">
                  <c:v>42214</c:v>
                </c:pt>
                <c:pt idx="105">
                  <c:v>42221</c:v>
                </c:pt>
              </c:numCache>
            </c:numRef>
          </c:cat>
          <c:val>
            <c:numRef>
              <c:f>汽車加油記錄!$M$7:$M$138</c:f>
              <c:numCache>
                <c:formatCode>0.00_ </c:formatCode>
                <c:ptCount val="132"/>
                <c:pt idx="0">
                  <c:v>10.557510576018821</c:v>
                </c:pt>
                <c:pt idx="1">
                  <c:v>10.557510576018821</c:v>
                </c:pt>
                <c:pt idx="2">
                  <c:v>10.557510576018821</c:v>
                </c:pt>
                <c:pt idx="3">
                  <c:v>10.557510576018821</c:v>
                </c:pt>
                <c:pt idx="4">
                  <c:v>10.557510576018821</c:v>
                </c:pt>
                <c:pt idx="5">
                  <c:v>10.557510576018821</c:v>
                </c:pt>
                <c:pt idx="6">
                  <c:v>10.557510576018821</c:v>
                </c:pt>
                <c:pt idx="7">
                  <c:v>10.557510576018821</c:v>
                </c:pt>
                <c:pt idx="8">
                  <c:v>10.557510576018821</c:v>
                </c:pt>
                <c:pt idx="9">
                  <c:v>10.557510576018821</c:v>
                </c:pt>
                <c:pt idx="10">
                  <c:v>10.557510576018821</c:v>
                </c:pt>
                <c:pt idx="11">
                  <c:v>10.557510576018821</c:v>
                </c:pt>
                <c:pt idx="12">
                  <c:v>10.557510576018821</c:v>
                </c:pt>
                <c:pt idx="13">
                  <c:v>10.557510576018821</c:v>
                </c:pt>
                <c:pt idx="14">
                  <c:v>10.557510576018821</c:v>
                </c:pt>
                <c:pt idx="15">
                  <c:v>10.557510576018821</c:v>
                </c:pt>
                <c:pt idx="16">
                  <c:v>10.557510576018821</c:v>
                </c:pt>
                <c:pt idx="17">
                  <c:v>10.557510576018821</c:v>
                </c:pt>
                <c:pt idx="18">
                  <c:v>10.557510576018821</c:v>
                </c:pt>
                <c:pt idx="19">
                  <c:v>10.557510576018821</c:v>
                </c:pt>
                <c:pt idx="20">
                  <c:v>10.557510576018821</c:v>
                </c:pt>
                <c:pt idx="21">
                  <c:v>10.557510576018821</c:v>
                </c:pt>
                <c:pt idx="22">
                  <c:v>10.557510576018821</c:v>
                </c:pt>
                <c:pt idx="23">
                  <c:v>10.557510576018821</c:v>
                </c:pt>
                <c:pt idx="24">
                  <c:v>10.557510576018821</c:v>
                </c:pt>
                <c:pt idx="25">
                  <c:v>10.557510576018821</c:v>
                </c:pt>
                <c:pt idx="26">
                  <c:v>10.557510576018821</c:v>
                </c:pt>
                <c:pt idx="27">
                  <c:v>10.557510576018821</c:v>
                </c:pt>
                <c:pt idx="28">
                  <c:v>10.557510576018821</c:v>
                </c:pt>
                <c:pt idx="29">
                  <c:v>10.557510576018821</c:v>
                </c:pt>
                <c:pt idx="30">
                  <c:v>10.557510576018821</c:v>
                </c:pt>
                <c:pt idx="31">
                  <c:v>10.557510576018821</c:v>
                </c:pt>
                <c:pt idx="32">
                  <c:v>10.557510576018821</c:v>
                </c:pt>
                <c:pt idx="33">
                  <c:v>10.557510576018821</c:v>
                </c:pt>
                <c:pt idx="34">
                  <c:v>10.557510576018821</c:v>
                </c:pt>
                <c:pt idx="35">
                  <c:v>10.557510576018821</c:v>
                </c:pt>
                <c:pt idx="36">
                  <c:v>10.557510576018821</c:v>
                </c:pt>
                <c:pt idx="37">
                  <c:v>10.557510576018821</c:v>
                </c:pt>
                <c:pt idx="38">
                  <c:v>10.557510576018821</c:v>
                </c:pt>
                <c:pt idx="39">
                  <c:v>10.557510576018821</c:v>
                </c:pt>
                <c:pt idx="40">
                  <c:v>10.557510576018821</c:v>
                </c:pt>
                <c:pt idx="41">
                  <c:v>10.557510576018821</c:v>
                </c:pt>
                <c:pt idx="42">
                  <c:v>10.557510576018821</c:v>
                </c:pt>
                <c:pt idx="43">
                  <c:v>10.557510576018821</c:v>
                </c:pt>
                <c:pt idx="44">
                  <c:v>10.557510576018821</c:v>
                </c:pt>
                <c:pt idx="45">
                  <c:v>10.557510576018821</c:v>
                </c:pt>
                <c:pt idx="46">
                  <c:v>10.557510576018821</c:v>
                </c:pt>
                <c:pt idx="47">
                  <c:v>10.557510576018821</c:v>
                </c:pt>
                <c:pt idx="48">
                  <c:v>10.557510576018821</c:v>
                </c:pt>
                <c:pt idx="49">
                  <c:v>10.557510576018821</c:v>
                </c:pt>
                <c:pt idx="50">
                  <c:v>10.557510576018821</c:v>
                </c:pt>
                <c:pt idx="51">
                  <c:v>10.557510576018821</c:v>
                </c:pt>
                <c:pt idx="52">
                  <c:v>10.557510576018821</c:v>
                </c:pt>
                <c:pt idx="53">
                  <c:v>10.557510576018821</c:v>
                </c:pt>
                <c:pt idx="54">
                  <c:v>10.557510576018821</c:v>
                </c:pt>
                <c:pt idx="55">
                  <c:v>10.557510576018821</c:v>
                </c:pt>
                <c:pt idx="56">
                  <c:v>10.557510576018821</c:v>
                </c:pt>
                <c:pt idx="57">
                  <c:v>10.557510576018821</c:v>
                </c:pt>
                <c:pt idx="58">
                  <c:v>10.557510576018821</c:v>
                </c:pt>
                <c:pt idx="59">
                  <c:v>10.557510576018821</c:v>
                </c:pt>
                <c:pt idx="60">
                  <c:v>10.557510576018821</c:v>
                </c:pt>
                <c:pt idx="61">
                  <c:v>10.557510576018821</c:v>
                </c:pt>
                <c:pt idx="62">
                  <c:v>10.557510576018821</c:v>
                </c:pt>
                <c:pt idx="63">
                  <c:v>10.557510576018821</c:v>
                </c:pt>
                <c:pt idx="64">
                  <c:v>10.557510576018821</c:v>
                </c:pt>
                <c:pt idx="65">
                  <c:v>10.557510576018821</c:v>
                </c:pt>
                <c:pt idx="66">
                  <c:v>10.557510576018821</c:v>
                </c:pt>
                <c:pt idx="67">
                  <c:v>10.557510576018821</c:v>
                </c:pt>
                <c:pt idx="68">
                  <c:v>10.557510576018821</c:v>
                </c:pt>
                <c:pt idx="69">
                  <c:v>10.557510576018821</c:v>
                </c:pt>
                <c:pt idx="70">
                  <c:v>10.557510576018821</c:v>
                </c:pt>
                <c:pt idx="71">
                  <c:v>10.557510576018821</c:v>
                </c:pt>
                <c:pt idx="72">
                  <c:v>10.557510576018821</c:v>
                </c:pt>
                <c:pt idx="73">
                  <c:v>10.557510576018821</c:v>
                </c:pt>
                <c:pt idx="74">
                  <c:v>10.557510576018821</c:v>
                </c:pt>
                <c:pt idx="75">
                  <c:v>10.557510576018821</c:v>
                </c:pt>
                <c:pt idx="76">
                  <c:v>10.557510576018821</c:v>
                </c:pt>
                <c:pt idx="77">
                  <c:v>10.557510576018821</c:v>
                </c:pt>
                <c:pt idx="78">
                  <c:v>10.557510576018821</c:v>
                </c:pt>
                <c:pt idx="79">
                  <c:v>10.557510576018821</c:v>
                </c:pt>
                <c:pt idx="80">
                  <c:v>10.557510576018821</c:v>
                </c:pt>
                <c:pt idx="81">
                  <c:v>10.557510576018821</c:v>
                </c:pt>
                <c:pt idx="82">
                  <c:v>10.557510576018821</c:v>
                </c:pt>
                <c:pt idx="83">
                  <c:v>10.557510576018821</c:v>
                </c:pt>
                <c:pt idx="84">
                  <c:v>10.557510576018821</c:v>
                </c:pt>
                <c:pt idx="85">
                  <c:v>10.557510576018821</c:v>
                </c:pt>
                <c:pt idx="86">
                  <c:v>10.557510576018821</c:v>
                </c:pt>
                <c:pt idx="87">
                  <c:v>10.557510576018821</c:v>
                </c:pt>
                <c:pt idx="88">
                  <c:v>10.557510576018821</c:v>
                </c:pt>
                <c:pt idx="89">
                  <c:v>10.557510576018821</c:v>
                </c:pt>
                <c:pt idx="90">
                  <c:v>10.557510576018821</c:v>
                </c:pt>
                <c:pt idx="91">
                  <c:v>10.557510576018821</c:v>
                </c:pt>
                <c:pt idx="92">
                  <c:v>10.557510576018821</c:v>
                </c:pt>
                <c:pt idx="93">
                  <c:v>10.557510576018821</c:v>
                </c:pt>
                <c:pt idx="94">
                  <c:v>10.557510576018821</c:v>
                </c:pt>
                <c:pt idx="95">
                  <c:v>10.557510576018821</c:v>
                </c:pt>
                <c:pt idx="96">
                  <c:v>10.557510576018821</c:v>
                </c:pt>
                <c:pt idx="97">
                  <c:v>10.557510576018821</c:v>
                </c:pt>
                <c:pt idx="98">
                  <c:v>10.557510576018821</c:v>
                </c:pt>
                <c:pt idx="99">
                  <c:v>10.557510576018821</c:v>
                </c:pt>
                <c:pt idx="100">
                  <c:v>10.557510576018821</c:v>
                </c:pt>
                <c:pt idx="101">
                  <c:v>10.557510576018821</c:v>
                </c:pt>
                <c:pt idx="102">
                  <c:v>10.557510576018821</c:v>
                </c:pt>
                <c:pt idx="103">
                  <c:v>10.557510576018821</c:v>
                </c:pt>
                <c:pt idx="104">
                  <c:v>10.557510576018821</c:v>
                </c:pt>
                <c:pt idx="105">
                  <c:v>10.557510576018821</c:v>
                </c:pt>
                <c:pt idx="106">
                  <c:v>10.557510576018821</c:v>
                </c:pt>
                <c:pt idx="107">
                  <c:v>10.557510576018821</c:v>
                </c:pt>
                <c:pt idx="108">
                  <c:v>10.557510576018821</c:v>
                </c:pt>
                <c:pt idx="109">
                  <c:v>10.557510576018821</c:v>
                </c:pt>
                <c:pt idx="110">
                  <c:v>10.557510576018821</c:v>
                </c:pt>
                <c:pt idx="111">
                  <c:v>10.557510576018821</c:v>
                </c:pt>
                <c:pt idx="112">
                  <c:v>10.557510576018821</c:v>
                </c:pt>
                <c:pt idx="113">
                  <c:v>10.557510576018821</c:v>
                </c:pt>
                <c:pt idx="114">
                  <c:v>10.557510576018821</c:v>
                </c:pt>
                <c:pt idx="115">
                  <c:v>10.557510576018821</c:v>
                </c:pt>
                <c:pt idx="116">
                  <c:v>10.557510576018821</c:v>
                </c:pt>
                <c:pt idx="117">
                  <c:v>10.557510576018821</c:v>
                </c:pt>
                <c:pt idx="118">
                  <c:v>10.557510576018821</c:v>
                </c:pt>
                <c:pt idx="119">
                  <c:v>10.557510576018821</c:v>
                </c:pt>
                <c:pt idx="120">
                  <c:v>10.557510576018821</c:v>
                </c:pt>
                <c:pt idx="121">
                  <c:v>10.557510576018821</c:v>
                </c:pt>
                <c:pt idx="122">
                  <c:v>10.557510576018821</c:v>
                </c:pt>
                <c:pt idx="123">
                  <c:v>10.557510576018821</c:v>
                </c:pt>
                <c:pt idx="124">
                  <c:v>10.557510576018821</c:v>
                </c:pt>
                <c:pt idx="125">
                  <c:v>10.557510576018821</c:v>
                </c:pt>
                <c:pt idx="126">
                  <c:v>10.557510576018821</c:v>
                </c:pt>
                <c:pt idx="127">
                  <c:v>10.557510576018821</c:v>
                </c:pt>
                <c:pt idx="128">
                  <c:v>10.557510576018821</c:v>
                </c:pt>
                <c:pt idx="129">
                  <c:v>10.557510576018821</c:v>
                </c:pt>
                <c:pt idx="130">
                  <c:v>10.557510576018821</c:v>
                </c:pt>
                <c:pt idx="131">
                  <c:v>10.557510576018821</c:v>
                </c:pt>
              </c:numCache>
            </c:numRef>
          </c:val>
        </c:ser>
        <c:dLbls>
          <c:showVal val="1"/>
        </c:dLbls>
        <c:marker val="1"/>
        <c:axId val="123975168"/>
        <c:axId val="123976704"/>
      </c:lineChart>
      <c:catAx>
        <c:axId val="123975168"/>
        <c:scaling>
          <c:orientation val="minMax"/>
        </c:scaling>
        <c:axPos val="b"/>
        <c:numFmt formatCode="mm/dd/yy;@" sourceLinked="0"/>
        <c:majorTickMark val="in"/>
        <c:minorTickMark val="out"/>
        <c:tickLblPos val="nextTo"/>
        <c:crossAx val="123976704"/>
        <c:crossesAt val="0"/>
        <c:lblAlgn val="ctr"/>
        <c:lblOffset val="100"/>
        <c:tickLblSkip val="2"/>
        <c:tickMarkSkip val="2"/>
      </c:catAx>
      <c:valAx>
        <c:axId val="123976704"/>
        <c:scaling>
          <c:orientation val="minMax"/>
          <c:max val="20"/>
          <c:min val="8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 sz="1400">
                    <a:latin typeface="Arial" pitchFamily="34" charset="0"/>
                    <a:cs typeface="Arial" pitchFamily="34" charset="0"/>
                  </a:rPr>
                  <a:t>公里</a:t>
                </a:r>
                <a:r>
                  <a:rPr lang="zh-TW" altLang="en-US" sz="1400" baseline="0">
                    <a:latin typeface="Arial" pitchFamily="34" charset="0"/>
                    <a:cs typeface="Arial" pitchFamily="34" charset="0"/>
                  </a:rPr>
                  <a:t> </a:t>
                </a:r>
                <a:r>
                  <a:rPr lang="en-US" altLang="zh-TW" sz="1400" baseline="0">
                    <a:latin typeface="Arial" pitchFamily="34" charset="0"/>
                    <a:cs typeface="Arial" pitchFamily="34" charset="0"/>
                  </a:rPr>
                  <a:t>/</a:t>
                </a:r>
                <a:r>
                  <a:rPr lang="zh-TW" altLang="en-US" sz="1400" baseline="0">
                    <a:latin typeface="Arial" pitchFamily="34" charset="0"/>
                    <a:cs typeface="Arial" pitchFamily="34" charset="0"/>
                  </a:rPr>
                  <a:t> 公升 </a:t>
                </a:r>
                <a:r>
                  <a:rPr lang="en-US" altLang="zh-TW" sz="1400" baseline="0">
                    <a:latin typeface="Arial" pitchFamily="34" charset="0"/>
                    <a:cs typeface="Arial" pitchFamily="34" charset="0"/>
                  </a:rPr>
                  <a:t>(</a:t>
                </a:r>
                <a:r>
                  <a:rPr lang="zh-TW" altLang="en-US" sz="1400" baseline="0">
                    <a:latin typeface="Arial" pitchFamily="34" charset="0"/>
                    <a:cs typeface="Arial" pitchFamily="34" charset="0"/>
                  </a:rPr>
                  <a:t> </a:t>
                </a:r>
                <a:r>
                  <a:rPr lang="en-US" altLang="zh-TW" sz="1400" baseline="0">
                    <a:latin typeface="Arial" pitchFamily="34" charset="0"/>
                    <a:cs typeface="Arial" pitchFamily="34" charset="0"/>
                  </a:rPr>
                  <a:t>No.95</a:t>
                </a:r>
                <a:r>
                  <a:rPr lang="zh-TW" altLang="en-US" sz="1400" baseline="0">
                    <a:latin typeface="Arial" pitchFamily="34" charset="0"/>
                    <a:cs typeface="Arial" pitchFamily="34" charset="0"/>
                  </a:rPr>
                  <a:t> </a:t>
                </a:r>
                <a:r>
                  <a:rPr lang="en-US" altLang="zh-TW" baseline="0"/>
                  <a:t>)</a:t>
                </a:r>
                <a:endParaRPr lang="en-US" altLang="en-US"/>
              </a:p>
            </c:rich>
          </c:tx>
          <c:layout/>
        </c:title>
        <c:numFmt formatCode="0.0_ " sourceLinked="0"/>
        <c:majorTickMark val="none"/>
        <c:tickLblPos val="nextTo"/>
        <c:crossAx val="123975168"/>
        <c:crosses val="autoZero"/>
        <c:crossBetween val="between"/>
        <c:majorUnit val="0.5"/>
      </c:valAx>
    </c:plotArea>
    <c:plotVisOnly val="1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4">
    <tabColor rgb="FFFF00FF"/>
  </sheetPr>
  <sheetViews>
    <sheetView zoomScale="80" workbookViewId="0"/>
  </sheetViews>
  <pageMargins left="0.25" right="0.25" top="0.75" bottom="0.75" header="0.3" footer="0.3"/>
  <pageSetup paperSize="8" orientation="landscape" horizontalDpi="1200" verticalDpi="1200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>
    <tabColor rgb="FFFF00FF"/>
  </sheetPr>
  <sheetViews>
    <sheetView tabSelected="1" zoomScale="80" workbookViewId="0"/>
  </sheetViews>
  <pageMargins left="0.25" right="0.25" top="0.75" bottom="0.75" header="0.3" footer="0.3"/>
  <pageSetup paperSize="8" orientation="landscape" horizontalDpi="1200" verticalDpi="120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-28576" y="-28576"/>
    <xdr:ext cx="14530389" cy="920829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0.43133</cdr:x>
      <cdr:y>0.2061</cdr:y>
    </cdr:from>
    <cdr:to>
      <cdr:x>0.54769</cdr:x>
      <cdr:y>0.24877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67427" y="1897825"/>
          <a:ext cx="1690756" cy="392918"/>
        </a:xfrm>
        <a:prstGeom xmlns:a="http://schemas.openxmlformats.org/drawingml/2006/main" prst="rect">
          <a:avLst/>
        </a:prstGeom>
        <a:solidFill xmlns:a="http://schemas.openxmlformats.org/drawingml/2006/main">
          <a:srgbClr val="66FF33"/>
        </a:solidFill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pPr algn="ctr"/>
          <a:r>
            <a:rPr lang="zh-TW" altLang="en-US" sz="1800" b="1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前</a:t>
          </a:r>
          <a:r>
            <a:rPr lang="en-US" altLang="zh-TW" sz="1800" b="1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10</a:t>
          </a:r>
          <a:r>
            <a:rPr lang="zh-TW" altLang="en-US" sz="1800" b="1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優</a:t>
          </a:r>
          <a:r>
            <a:rPr lang="zh-TW" altLang="en-US" sz="1800" b="1" baseline="0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 平均數</a:t>
          </a:r>
          <a:endParaRPr lang="zh-TW" altLang="en-US" sz="1800" b="1">
            <a:solidFill>
              <a:srgbClr val="0000FF"/>
            </a:solidFill>
            <a:latin typeface="標楷體" pitchFamily="65" charset="-120"/>
            <a:ea typeface="標楷體" pitchFamily="65" charset="-120"/>
          </a:endParaRPr>
        </a:p>
      </cdr:txBody>
    </cdr:sp>
  </cdr:relSizeAnchor>
  <cdr:relSizeAnchor xmlns:cdr="http://schemas.openxmlformats.org/drawingml/2006/chartDrawing">
    <cdr:from>
      <cdr:x>0.4351</cdr:x>
      <cdr:y>0.58314</cdr:y>
    </cdr:from>
    <cdr:to>
      <cdr:x>0.55146</cdr:x>
      <cdr:y>0.62581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6322172" y="5369731"/>
          <a:ext cx="1690756" cy="392918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</cdr:spPr>
      <cdr:txBody>
        <a:bodyPr xmlns:a="http://schemas.openxmlformats.org/drawingml/2006/main" wrap="none" rtlCol="0" anchor="ctr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/>
          <a:r>
            <a:rPr lang="zh-TW" altLang="en-US" sz="1800" b="1">
              <a:solidFill>
                <a:srgbClr val="FFFF00"/>
              </a:solidFill>
              <a:latin typeface="標楷體" pitchFamily="65" charset="-120"/>
              <a:ea typeface="標楷體" pitchFamily="65" charset="-120"/>
            </a:rPr>
            <a:t>前</a:t>
          </a:r>
          <a:r>
            <a:rPr lang="en-US" altLang="zh-TW" sz="1800" b="1">
              <a:solidFill>
                <a:srgbClr val="FFFF00"/>
              </a:solidFill>
              <a:latin typeface="標楷體" pitchFamily="65" charset="-120"/>
              <a:ea typeface="標楷體" pitchFamily="65" charset="-120"/>
            </a:rPr>
            <a:t>10</a:t>
          </a:r>
          <a:r>
            <a:rPr lang="zh-TW" altLang="en-US" sz="1800" b="1">
              <a:solidFill>
                <a:srgbClr val="FFFF00"/>
              </a:solidFill>
              <a:latin typeface="標楷體" pitchFamily="65" charset="-120"/>
              <a:ea typeface="標楷體" pitchFamily="65" charset="-120"/>
            </a:rPr>
            <a:t>劣</a:t>
          </a:r>
          <a:r>
            <a:rPr lang="zh-TW" altLang="en-US" sz="1800" b="1" baseline="0">
              <a:solidFill>
                <a:srgbClr val="FFFF00"/>
              </a:solidFill>
              <a:latin typeface="標楷體" pitchFamily="65" charset="-120"/>
              <a:ea typeface="標楷體" pitchFamily="65" charset="-120"/>
            </a:rPr>
            <a:t> 平均數</a:t>
          </a:r>
          <a:endParaRPr lang="zh-TW" altLang="en-US" sz="1800" b="1">
            <a:solidFill>
              <a:srgbClr val="FFFF00"/>
            </a:solidFill>
            <a:latin typeface="標楷體" pitchFamily="65" charset="-120"/>
            <a:ea typeface="標楷體" pitchFamily="65" charset="-120"/>
          </a:endParaRPr>
        </a:p>
      </cdr:txBody>
    </cdr:sp>
  </cdr:relSizeAnchor>
  <cdr:relSizeAnchor xmlns:cdr="http://schemas.openxmlformats.org/drawingml/2006/chartDrawing">
    <cdr:from>
      <cdr:x>0.43264</cdr:x>
      <cdr:y>0.39824</cdr:y>
    </cdr:from>
    <cdr:to>
      <cdr:x>0.54687</cdr:x>
      <cdr:y>0.44143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6286461" y="3667119"/>
          <a:ext cx="1659807" cy="397706"/>
        </a:xfrm>
        <a:prstGeom xmlns:a="http://schemas.openxmlformats.org/drawingml/2006/main" prst="rect">
          <a:avLst/>
        </a:prstGeom>
        <a:solidFill xmlns:a="http://schemas.openxmlformats.org/drawingml/2006/main">
          <a:srgbClr val="00FFFF">
            <a:alpha val="42000"/>
          </a:srgbClr>
        </a:solidFill>
      </cdr:spPr>
      <cdr:txBody>
        <a:bodyPr xmlns:a="http://schemas.openxmlformats.org/drawingml/2006/main" wrap="none" rtlCol="0" anchor="ctr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/>
          <a:r>
            <a:rPr lang="zh-TW" altLang="en-US" sz="1800" b="1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總數平</a:t>
          </a:r>
          <a:r>
            <a:rPr lang="zh-TW" altLang="en-US" sz="1800" b="1" baseline="0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均數</a:t>
          </a:r>
          <a:endParaRPr lang="zh-TW" altLang="en-US" sz="1800" b="1">
            <a:solidFill>
              <a:srgbClr val="0000FF"/>
            </a:solidFill>
            <a:latin typeface="標楷體" pitchFamily="65" charset="-120"/>
            <a:ea typeface="標楷體" pitchFamily="65" charset="-12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-28576" y="-28576"/>
    <xdr:ext cx="14530389" cy="920829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0.43379</cdr:x>
      <cdr:y>0.57072</cdr:y>
    </cdr:from>
    <cdr:to>
      <cdr:x>0.55015</cdr:x>
      <cdr:y>0.61339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303137" y="5255375"/>
          <a:ext cx="1690757" cy="392918"/>
        </a:xfrm>
        <a:prstGeom xmlns:a="http://schemas.openxmlformats.org/drawingml/2006/main" prst="rect">
          <a:avLst/>
        </a:prstGeom>
        <a:solidFill xmlns:a="http://schemas.openxmlformats.org/drawingml/2006/main">
          <a:srgbClr val="66FF33"/>
        </a:solidFill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pPr algn="ctr"/>
          <a:r>
            <a:rPr lang="zh-TW" altLang="en-US" sz="1800" b="1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前</a:t>
          </a:r>
          <a:r>
            <a:rPr lang="en-US" altLang="zh-TW" sz="1800" b="1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5</a:t>
          </a:r>
          <a:r>
            <a:rPr lang="zh-TW" altLang="en-US" sz="1800" b="1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優</a:t>
          </a:r>
          <a:r>
            <a:rPr lang="zh-TW" altLang="en-US" sz="1800" b="1" baseline="0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 平均數</a:t>
          </a:r>
          <a:endParaRPr lang="zh-TW" altLang="en-US" sz="1800" b="1">
            <a:solidFill>
              <a:srgbClr val="0000FF"/>
            </a:solidFill>
            <a:latin typeface="標楷體" pitchFamily="65" charset="-120"/>
            <a:ea typeface="標楷體" pitchFamily="65" charset="-120"/>
          </a:endParaRPr>
        </a:p>
      </cdr:txBody>
    </cdr:sp>
  </cdr:relSizeAnchor>
  <cdr:relSizeAnchor xmlns:cdr="http://schemas.openxmlformats.org/drawingml/2006/chartDrawing">
    <cdr:from>
      <cdr:x>0.43756</cdr:x>
      <cdr:y>0.84432</cdr:y>
    </cdr:from>
    <cdr:to>
      <cdr:x>0.55392</cdr:x>
      <cdr:y>0.88699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6357891" y="7774757"/>
          <a:ext cx="1690756" cy="392918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</cdr:spPr>
      <cdr:txBody>
        <a:bodyPr xmlns:a="http://schemas.openxmlformats.org/drawingml/2006/main" wrap="none" rtlCol="0" anchor="ctr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/>
          <a:r>
            <a:rPr lang="zh-TW" altLang="en-US" sz="1800" b="1">
              <a:solidFill>
                <a:srgbClr val="FFFF00"/>
              </a:solidFill>
              <a:latin typeface="標楷體" pitchFamily="65" charset="-120"/>
              <a:ea typeface="標楷體" pitchFamily="65" charset="-120"/>
            </a:rPr>
            <a:t>前</a:t>
          </a:r>
          <a:r>
            <a:rPr lang="en-US" altLang="zh-TW" sz="1800" b="1">
              <a:solidFill>
                <a:srgbClr val="FFFF00"/>
              </a:solidFill>
              <a:latin typeface="標楷體" pitchFamily="65" charset="-120"/>
              <a:ea typeface="標楷體" pitchFamily="65" charset="-120"/>
            </a:rPr>
            <a:t>5</a:t>
          </a:r>
          <a:r>
            <a:rPr lang="zh-TW" altLang="en-US" sz="1800" b="1">
              <a:solidFill>
                <a:srgbClr val="FFFF00"/>
              </a:solidFill>
              <a:latin typeface="標楷體" pitchFamily="65" charset="-120"/>
              <a:ea typeface="標楷體" pitchFamily="65" charset="-120"/>
            </a:rPr>
            <a:t>劣</a:t>
          </a:r>
          <a:r>
            <a:rPr lang="zh-TW" altLang="en-US" sz="1800" b="1" baseline="0">
              <a:solidFill>
                <a:srgbClr val="FFFF00"/>
              </a:solidFill>
              <a:latin typeface="標楷體" pitchFamily="65" charset="-120"/>
              <a:ea typeface="標楷體" pitchFamily="65" charset="-120"/>
            </a:rPr>
            <a:t> 平均數</a:t>
          </a:r>
          <a:endParaRPr lang="zh-TW" altLang="en-US" sz="1800" b="1">
            <a:solidFill>
              <a:srgbClr val="FFFF00"/>
            </a:solidFill>
            <a:latin typeface="標楷體" pitchFamily="65" charset="-120"/>
            <a:ea typeface="標楷體" pitchFamily="65" charset="-120"/>
          </a:endParaRPr>
        </a:p>
      </cdr:txBody>
    </cdr:sp>
  </cdr:relSizeAnchor>
  <cdr:relSizeAnchor xmlns:cdr="http://schemas.openxmlformats.org/drawingml/2006/chartDrawing">
    <cdr:from>
      <cdr:x>0.43673</cdr:x>
      <cdr:y>0.68528</cdr:y>
    </cdr:from>
    <cdr:to>
      <cdr:x>0.55096</cdr:x>
      <cdr:y>0.72847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6345924" y="6310280"/>
          <a:ext cx="1659806" cy="397706"/>
        </a:xfrm>
        <a:prstGeom xmlns:a="http://schemas.openxmlformats.org/drawingml/2006/main" prst="rect">
          <a:avLst/>
        </a:prstGeom>
        <a:solidFill xmlns:a="http://schemas.openxmlformats.org/drawingml/2006/main">
          <a:srgbClr val="00FFFF">
            <a:alpha val="42000"/>
          </a:srgbClr>
        </a:solidFill>
      </cdr:spPr>
      <cdr:txBody>
        <a:bodyPr xmlns:a="http://schemas.openxmlformats.org/drawingml/2006/main" wrap="none" rtlCol="0" anchor="ctr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/>
          <a:r>
            <a:rPr lang="zh-TW" altLang="en-US" sz="1800" b="1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總數</a:t>
          </a:r>
          <a:r>
            <a:rPr lang="zh-TW" altLang="en-US" sz="1800" b="1" baseline="0">
              <a:solidFill>
                <a:srgbClr val="0000FF"/>
              </a:solidFill>
              <a:latin typeface="標楷體" pitchFamily="65" charset="-120"/>
              <a:ea typeface="標楷體" pitchFamily="65" charset="-120"/>
            </a:rPr>
            <a:t>平均數</a:t>
          </a:r>
          <a:endParaRPr lang="zh-TW" altLang="en-US" sz="1800" b="1">
            <a:solidFill>
              <a:srgbClr val="0000FF"/>
            </a:solidFill>
            <a:latin typeface="標楷體" pitchFamily="65" charset="-120"/>
            <a:ea typeface="標楷體" pitchFamily="65" charset="-12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FF00"/>
  </sheetPr>
  <dimension ref="A2:T190"/>
  <sheetViews>
    <sheetView workbookViewId="0">
      <pane xSplit="5" topLeftCell="F1" activePane="topRight" state="frozenSplit"/>
      <selection pane="topRight" activeCell="R23" sqref="R23:R24"/>
    </sheetView>
  </sheetViews>
  <sheetFormatPr defaultRowHeight="15.75"/>
  <cols>
    <col min="1" max="1" width="19.85546875" style="10" customWidth="1"/>
    <col min="2" max="2" width="11" style="10" customWidth="1"/>
    <col min="3" max="3" width="12.5703125" style="10" customWidth="1"/>
    <col min="4" max="4" width="0.7109375" style="16" customWidth="1"/>
    <col min="5" max="17" width="12.5703125" style="10" customWidth="1"/>
    <col min="18" max="18" width="12.7109375" style="14" customWidth="1"/>
    <col min="19" max="19" width="9.140625" style="10"/>
    <col min="20" max="20" width="18" style="11" customWidth="1"/>
    <col min="21" max="21" width="9.140625" style="10"/>
    <col min="22" max="25" width="10" style="10" bestFit="1" customWidth="1"/>
    <col min="26" max="16384" width="9.140625" style="10"/>
  </cols>
  <sheetData>
    <row r="2" spans="1:18">
      <c r="B2" s="11" t="s">
        <v>0</v>
      </c>
      <c r="C2" s="12" t="s">
        <v>59</v>
      </c>
      <c r="D2" s="13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8">
      <c r="A3" s="11" t="s">
        <v>1</v>
      </c>
      <c r="B3" s="66">
        <f>汽車加油記錄!I3</f>
        <v>9.67</v>
      </c>
      <c r="C3" s="67">
        <f>機車加油記錄!I3</f>
        <v>39.25</v>
      </c>
    </row>
    <row r="4" spans="1:18">
      <c r="A4" s="11" t="s">
        <v>2</v>
      </c>
      <c r="B4" s="10">
        <f>26+20</f>
        <v>46</v>
      </c>
      <c r="C4" s="15">
        <f>(19.5+21.5)*機車加油記錄!A3</f>
        <v>37.080103359173123</v>
      </c>
    </row>
    <row r="5" spans="1:18" ht="26.25" thickBot="1">
      <c r="A5" s="17" t="s">
        <v>3</v>
      </c>
      <c r="B5" s="68">
        <f>(B4/B3)*AVERAGE(汽車加油記錄!A7:A112)</f>
        <v>143.86467720490469</v>
      </c>
      <c r="C5" s="68">
        <f>(C4/C3)*AVERAGE(機車加油記錄!A7:A138)</f>
        <v>28.825647229217068</v>
      </c>
      <c r="F5" s="138" t="s">
        <v>39</v>
      </c>
      <c r="G5" s="138"/>
      <c r="H5" s="138"/>
    </row>
    <row r="6" spans="1:18" ht="16.5" thickBot="1">
      <c r="A6" s="11" t="s">
        <v>4</v>
      </c>
      <c r="B6" s="10">
        <v>0</v>
      </c>
      <c r="C6" s="67">
        <f>$B5-C5</f>
        <v>115.03902997568763</v>
      </c>
      <c r="E6" s="69" t="s">
        <v>35</v>
      </c>
      <c r="F6" s="70" t="s">
        <v>29</v>
      </c>
      <c r="G6" s="70" t="s">
        <v>30</v>
      </c>
      <c r="H6" s="70" t="s">
        <v>31</v>
      </c>
      <c r="I6" s="70" t="s">
        <v>32</v>
      </c>
      <c r="J6" s="70" t="s">
        <v>33</v>
      </c>
      <c r="K6" s="70" t="s">
        <v>34</v>
      </c>
      <c r="L6" s="70" t="s">
        <v>10</v>
      </c>
      <c r="M6" s="70" t="s">
        <v>11</v>
      </c>
      <c r="N6" s="70" t="s">
        <v>12</v>
      </c>
      <c r="O6" s="70" t="s">
        <v>13</v>
      </c>
      <c r="P6" s="70" t="s">
        <v>14</v>
      </c>
      <c r="Q6" s="71" t="s">
        <v>15</v>
      </c>
      <c r="R6" s="72" t="s">
        <v>36</v>
      </c>
    </row>
    <row r="7" spans="1:18">
      <c r="A7" s="17" t="s">
        <v>17</v>
      </c>
      <c r="B7" s="19">
        <f>B5*20</f>
        <v>2877.2935440980937</v>
      </c>
      <c r="C7" s="18">
        <f>C5*20</f>
        <v>576.51294458434131</v>
      </c>
      <c r="E7" s="73" t="s">
        <v>47</v>
      </c>
      <c r="F7" s="74">
        <f>SUMIFS(機車加油記錄!$G$7:$G$201,機車加油記錄!$C$7:$C$201,"&gt;2009/12/31",機車加油記錄!$C$7:$C$201,"&lt;2010/02/01")</f>
        <v>170</v>
      </c>
      <c r="G7" s="74">
        <f>SUMIFS(機車加油記錄!$G$7:$G$201,機車加油記錄!$C$7:$C$201,"&gt;2010/01/31",機車加油記錄!$C$7:$C$201,"&lt;2010/03/01")</f>
        <v>0</v>
      </c>
      <c r="H7" s="74">
        <f>SUMIFS(機車加油記錄!$G$7:$G$201,機車加油記錄!$C$7:$C$201,"&gt;2010/02/28",機車加油記錄!$C$7:$C$201,"&lt;2010/04/01")</f>
        <v>0</v>
      </c>
      <c r="I7" s="74">
        <f>SUMIFS(機車加油記錄!$G$7:$G$201,機車加油記錄!$C$7:$C$201,"&gt;2010/03/31",機車加油記錄!$C$7:$C$201,"&lt;2010/05/01")</f>
        <v>0</v>
      </c>
      <c r="J7" s="74">
        <f>SUMIFS(機車加油記錄!$G$7:$G$201,機車加油記錄!$C$7:$C$201,"&gt;2010/04/30",機車加油記錄!$C$7:$C$201,"&lt;2010/06/01")</f>
        <v>0</v>
      </c>
      <c r="K7" s="74">
        <f>SUMIFS(機車加油記錄!$G$7:$G$201,機車加油記錄!$C$7:$C$201,"&gt;2010/05/31",機車加油記錄!$C$7:$C$201,"&lt;2010/07/01")</f>
        <v>0</v>
      </c>
      <c r="L7" s="74">
        <f>SUMIFS(機車加油記錄!$G$7:$G$201,機車加油記錄!$C$7:$C$201,"&gt;2010/06/30",機車加油記錄!$C$7:$C$201,"&lt;2010/08/01")</f>
        <v>0</v>
      </c>
      <c r="M7" s="74">
        <f>SUMIFS(機車加油記錄!$G$7:$G$201,機車加油記錄!$C$7:$C$201,"&gt;2010/07/31",機車加油記錄!$C$7:$C$201,"&lt;2010/09/01")</f>
        <v>0</v>
      </c>
      <c r="N7" s="74">
        <f>SUMIFS(機車加油記錄!$G$7:$G$201,機車加油記錄!$C$7:$C$201,"&gt;2010/08/31",機車加油記錄!$C$7:$C$201,"&lt;2010/10/01")</f>
        <v>0</v>
      </c>
      <c r="O7" s="74">
        <f>SUMIFS(機車加油記錄!$G$7:$G$201,機車加油記錄!$C$7:$C$201,"&gt;2010/09/30",機車加油記錄!$C$7:$C$201,"&lt;2010/11/01")</f>
        <v>0</v>
      </c>
      <c r="P7" s="74">
        <f>SUMIFS(機車加油記錄!$G$7:$G$201,機車加油記錄!$C$7:$C$201,"&gt;2010/10/31",機車加油記錄!$C$7:$C$201,"&lt;2010/12/01")</f>
        <v>0</v>
      </c>
      <c r="Q7" s="75">
        <f>SUMIFS(機車加油記錄!$G$7:$G$201,機車加油記錄!$C$7:$C$201,"&gt;2010/11/30",機車加油記錄!$C$7:$C$201,"&lt;2011/01/01")</f>
        <v>0</v>
      </c>
      <c r="R7" s="140">
        <f>(AVERAGEIF(F7:Q7,"&gt;0")+AVERAGEIF(F8:Q8,"&gt;0"))</f>
        <v>181.05263157894737</v>
      </c>
    </row>
    <row r="8" spans="1:18" ht="16.5" thickBot="1">
      <c r="A8" s="20" t="s">
        <v>5</v>
      </c>
      <c r="B8" s="20" t="s">
        <v>27</v>
      </c>
      <c r="C8" s="15">
        <f>C6*20</f>
        <v>2300.7805995137523</v>
      </c>
      <c r="E8" s="76" t="s">
        <v>48</v>
      </c>
      <c r="F8" s="77">
        <f>SUMIFS(機車加油記錄!$J$7:$J$201,機車加油記錄!$C$7:$C$201,"&gt;2009/12/31",機車加油記錄!$C$7:$C$201,"&lt;2010/02/01")</f>
        <v>11.052631578947368</v>
      </c>
      <c r="G8" s="77">
        <f>SUMIFS(機車加油記錄!$J$7:$J$201,機車加油記錄!$C$7:$C$201,"&gt;2010/01/31",機車加油記錄!$C$7:$C$201,"&lt;2010/03/01")</f>
        <v>0</v>
      </c>
      <c r="H8" s="77">
        <f>SUMIFS(機車加油記錄!$J$7:$J$201,機車加油記錄!$C$7:$C$201,"&gt;2010/02/28",機車加油記錄!$C$7:$C$201,"&lt;2010/04/01")</f>
        <v>0</v>
      </c>
      <c r="I8" s="77">
        <f>SUMIFS(機車加油記錄!$J$7:$J$201,機車加油記錄!$C$7:$C$201,"&gt;2010/03/31",機車加油記錄!$C$7:$C$201,"&lt;2010/05/01")</f>
        <v>0</v>
      </c>
      <c r="J8" s="77">
        <f>SUMIFS(機車加油記錄!$J$7:$J$201,機車加油記錄!$C$7:$C$201,"&gt;2010/04/30",機車加油記錄!$C$7:$C$201,"&lt;2010/06/01")</f>
        <v>0</v>
      </c>
      <c r="K8" s="77">
        <f>SUMIFS(機車加油記錄!$J$7:$J$201,機車加油記錄!$C$7:$C$201,"&gt;2010/05/31",機車加油記錄!$C$7:$C$201,"&lt;2010/07/01")</f>
        <v>0</v>
      </c>
      <c r="L8" s="77">
        <f>SUMIFS(機車加油記錄!$J$7:$J$201,機車加油記錄!$C$7:$C$201,"&gt;2010/06/30",機車加油記錄!$C$7:$C$201,"&lt;2010/08/01")</f>
        <v>0</v>
      </c>
      <c r="M8" s="77">
        <f>SUMIFS(機車加油記錄!$J$7:$J$201,機車加油記錄!$C$7:$C$201,"&gt;2010/07/31",機車加油記錄!$C$7:$C$201,"&lt;2010/09/01")</f>
        <v>0</v>
      </c>
      <c r="N8" s="77">
        <f>SUMIFS(機車加油記錄!$J$7:$J$201,機車加油記錄!$C$7:$C$201,"&gt;2010/08/31",機車加油記錄!$C$7:$C$201,"&lt;2010/10/01")</f>
        <v>0</v>
      </c>
      <c r="O8" s="77">
        <f>SUMIFS(機車加油記錄!$J$7:$J$201,機車加油記錄!$C$7:$C$201,"&gt;2010/09/30",機車加油記錄!$C$7:$C$201,"&lt;2010/11/01")</f>
        <v>0</v>
      </c>
      <c r="P8" s="77">
        <f>SUMIFS(機車加油記錄!$J$7:$J$201,機車加油記錄!$C$7:$C$201,"&gt;2010/10/31",機車加油記錄!$C$7:$C$201,"&lt;2010/12/01")</f>
        <v>0</v>
      </c>
      <c r="Q8" s="78">
        <f>SUMIFS(機車加油記錄!$J$7:$J$201,機車加油記錄!$C$7:$C$201,"&gt;2010/11/30",機車加油記錄!$C$7:$C$201,"&lt;2011/01/01")</f>
        <v>0</v>
      </c>
      <c r="R8" s="141"/>
    </row>
    <row r="9" spans="1:18">
      <c r="A9" s="20" t="s">
        <v>6</v>
      </c>
      <c r="B9" s="20" t="s">
        <v>28</v>
      </c>
      <c r="C9" s="15">
        <f>C8*12</f>
        <v>27609.367194165028</v>
      </c>
      <c r="E9" s="79" t="s">
        <v>49</v>
      </c>
      <c r="F9" s="74">
        <f>SUMIFS(機車加油記錄!$G$7:$G$201,機車加油記錄!$C$7:$C$201,"&gt;2010/12/31",機車加油記錄!$C$7:$C$201,"&lt;2011/02/01")</f>
        <v>0</v>
      </c>
      <c r="G9" s="74">
        <f>SUMIFS(機車加油記錄!$G$7:$G$201,機車加油記錄!$C$7:$C$201,"&gt;2011/01/31",機車加油記錄!$C$7:$C$201,"&lt;2011/03/01")</f>
        <v>140</v>
      </c>
      <c r="H9" s="74">
        <f>SUMIFS(機車加油記錄!$G$7:$G$201,機車加油記錄!$C$7:$C$201,"&gt;2011/02/28",機車加油記錄!$C$7:$C$201,"&lt;2011/04/01")</f>
        <v>0</v>
      </c>
      <c r="I9" s="74">
        <f>SUMIFS(機車加油記錄!$G$7:$G$201,機車加油記錄!$C$7:$C$201,"&gt;2011/03/31",機車加油記錄!$C$7:$C$201,"&lt;2011/05/01")</f>
        <v>0</v>
      </c>
      <c r="J9" s="74">
        <f>SUMIFS(機車加油記錄!$G$7:$G$201,機車加油記錄!$C$7:$C$201,"&gt;2011/04/30",機車加油記錄!$C$7:$C$201,"&lt;2011/06/01")</f>
        <v>0</v>
      </c>
      <c r="K9" s="74">
        <f>SUMIFS(機車加油記錄!$G$7:$G$201,機車加油記錄!$C$7:$C$201,"&gt;2011/05/31",機車加油記錄!$C$7:$C$201,"&lt;2011/07/01")</f>
        <v>0</v>
      </c>
      <c r="L9" s="74">
        <f>SUMIFS(機車加油記錄!$G$7:$G$201,機車加油記錄!$C$7:$C$201,"&gt;2011/06/30",機車加油記錄!$C$7:$C$201,"&lt;2011/08/01")</f>
        <v>0</v>
      </c>
      <c r="M9" s="74">
        <f>SUMIFS(機車加油記錄!$G$7:$G$201,機車加油記錄!$C$7:$C$201,"&gt;2011/07/31",機車加油記錄!$C$7:$C$201,"&lt;2011/09/01")</f>
        <v>0</v>
      </c>
      <c r="N9" s="74">
        <f>SUMIFS(機車加油記錄!$G$7:$G$201,機車加油記錄!$C$7:$C$201,"&gt;2011/08/31",機車加油記錄!$C$7:$C$201,"&lt;2011/10/01")</f>
        <v>0</v>
      </c>
      <c r="O9" s="74">
        <f>SUMIFS(機車加油記錄!$G$7:$G$201,機車加油記錄!$C$7:$C$201,"&gt;2011/09/30",機車加油記錄!$C$7:$C$201,"&lt;2011/11/01")</f>
        <v>0</v>
      </c>
      <c r="P9" s="74">
        <f>SUMIFS(機車加油記錄!$G$7:$G$201,機車加油記錄!$C$7:$C$201,"&gt;2011/10/31",機車加油記錄!$C$7:$C$201,"&lt;2011/12/01")</f>
        <v>0</v>
      </c>
      <c r="Q9" s="75">
        <f>SUMIFS(機車加油記錄!$G$7:$G$201,機車加油記錄!$C$7:$C$201,"&gt;2011/11/30",機車加油記錄!$C$7:$C$201,"&lt;2012/01/01")</f>
        <v>0</v>
      </c>
      <c r="R9" s="140">
        <f>(AVERAGEIF(F9:Q9,"&gt;0")+AVERAGEIF(F10:Q10,"&gt;0"))</f>
        <v>390</v>
      </c>
    </row>
    <row r="10" spans="1:18" ht="16.5" thickBot="1">
      <c r="A10" s="11"/>
      <c r="E10" s="80" t="s">
        <v>50</v>
      </c>
      <c r="F10" s="77">
        <f>SUMIFS(機車加油記錄!$J$7:$J$201,機車加油記錄!$C$7:$C$201,"&gt;2010/12/31",機車加油記錄!$C$7:$C$201,"&lt;2011/02/01")</f>
        <v>0</v>
      </c>
      <c r="G10" s="77">
        <f>SUMIFS(機車加油記錄!$J$7:$J$201,機車加油記錄!$C$7:$C$201,"&gt;2011/01/31",機車加油記錄!$C$7:$C$201,"&lt;2011/03/01")</f>
        <v>250</v>
      </c>
      <c r="H10" s="77">
        <f>SUMIFS(機車加油記錄!$J$7:$J$201,機車加油記錄!$C$7:$C$201,"&gt;2011/02/28",機車加油記錄!$C$7:$C$201,"&lt;2011/04/01")</f>
        <v>0</v>
      </c>
      <c r="I10" s="77">
        <f>SUMIFS(機車加油記錄!$J$7:$J$201,機車加油記錄!$C$7:$C$201,"&gt;2011/03/31",機車加油記錄!$C$7:$C$201,"&lt;2011/05/01")</f>
        <v>0</v>
      </c>
      <c r="J10" s="77">
        <f>SUMIFS(機車加油記錄!$J$7:$J$201,機車加油記錄!$C$7:$C$201,"&gt;2011/04/30",機車加油記錄!$C$7:$C$201,"&lt;2011/06/01")</f>
        <v>0</v>
      </c>
      <c r="K10" s="77">
        <f>SUMIFS(機車加油記錄!$J$7:$J$201,機車加油記錄!$C$7:$C$201,"&gt;2011/05/31",機車加油記錄!$C$7:$C$201,"&lt;2011/07/01")</f>
        <v>0</v>
      </c>
      <c r="L10" s="77">
        <f>SUMIFS(機車加油記錄!$J$7:$J$201,機車加油記錄!$C$7:$C$201,"&gt;2011/06/30",機車加油記錄!$C$7:$C$201,"&lt;2011/08/01")</f>
        <v>0</v>
      </c>
      <c r="M10" s="77">
        <f>SUMIFS(機車加油記錄!$J$7:$J$201,機車加油記錄!$C$7:$C$201,"&gt;2011/07/31",機車加油記錄!$C$7:$C$201,"&lt;2011/09/01")</f>
        <v>0</v>
      </c>
      <c r="N10" s="77">
        <f>SUMIFS(機車加油記錄!$J$7:$J$201,機車加油記錄!$C$7:$C$201,"&gt;2011/09/31",機車加油記錄!$C$7:$C$201,"&lt;2011/10/01")</f>
        <v>0</v>
      </c>
      <c r="O10" s="77">
        <f>SUMIFS(機車加油記錄!$J$7:$J$201,機車加油記錄!$C$7:$C$201,"&gt;2011/09/30",機車加油記錄!$C$7:$C$201,"&lt;2011/11/01")</f>
        <v>0</v>
      </c>
      <c r="P10" s="77">
        <f>SUMIFS(機車加油記錄!$J$7:$J$201,機車加油記錄!$C$7:$C$201,"&gt;2011/10/31",機車加油記錄!$C$7:$C$201,"&lt;2011/12/01")</f>
        <v>0</v>
      </c>
      <c r="Q10" s="78">
        <f>SUMIFS(機車加油記錄!$J$7:$J$201,機車加油記錄!$C$7:$C$201,"&gt;2011/11/30",機車加油記錄!$C$7:$C$201,"&lt;2012/01/01")</f>
        <v>0</v>
      </c>
      <c r="R10" s="141"/>
    </row>
    <row r="11" spans="1:18">
      <c r="A11" s="11"/>
      <c r="E11" s="81" t="s">
        <v>51</v>
      </c>
      <c r="F11" s="74">
        <f>SUMIFS(機車加油記錄!$G$7:$G$201,機車加油記錄!$C$7:$C$201,"&gt;2011/12/31",機車加油記錄!$C$7:$C$201,"&lt;2012/02/01")</f>
        <v>0</v>
      </c>
      <c r="G11" s="74">
        <f>SUMIFS(機車加油記錄!$G$7:$G$201,機車加油記錄!$C$7:$C$201,"&gt;2012/01/31",機車加油記錄!$C$7:$C$201,"&lt;2012/03/01")</f>
        <v>0</v>
      </c>
      <c r="H11" s="74">
        <f>SUMIFS(機車加油記錄!$G$7:$G$201,機車加油記錄!$C$7:$C$201,"&gt;2012/02/29",機車加油記錄!$C$7:$C$201,"&lt;2012/04/01")</f>
        <v>400</v>
      </c>
      <c r="I11" s="74">
        <f>SUMIFS(機車加油記錄!$G$7:$G$201,機車加油記錄!$C$7:$C$201,"&gt;2012/03/31",機車加油記錄!$C$7:$C$201,"&lt;2012/05/01")</f>
        <v>533</v>
      </c>
      <c r="J11" s="74">
        <f>SUMIFS(機車加油記錄!$G$7:$G$201,機車加油記錄!$C$7:$C$201,"&gt;2012/04/30",機車加油記錄!$C$7:$C$201,"&lt;2012/06/01")</f>
        <v>653</v>
      </c>
      <c r="K11" s="74">
        <f>SUMIFS(機車加油記錄!$G$7:$G$201,機車加油記錄!$C$7:$C$201,"&gt;2012/05/31",機車加油記錄!$C$7:$C$201,"&lt;2012/07/01")</f>
        <v>572</v>
      </c>
      <c r="L11" s="74">
        <f>SUMIFS(機車加油記錄!$G$7:$G$201,機車加油記錄!$C$7:$C$201,"&gt;2012/06/30",機車加油記錄!$C$7:$C$201,"&lt;2012/08/01")</f>
        <v>472</v>
      </c>
      <c r="M11" s="74">
        <f>SUMIFS(機車加油記錄!$G$7:$G$201,機車加油記錄!$C$7:$C$201,"&gt;2012/07/31",機車加油記錄!$C$7:$C$201,"&lt;2012/09/01")</f>
        <v>259</v>
      </c>
      <c r="N11" s="74">
        <f>SUMIFS(機車加油記錄!$G$7:$G$201,機車加油記錄!$C$7:$C$201,"&gt;2012/08/31",機車加油記錄!$C$7:$C$201,"&lt;2012/10/01")</f>
        <v>0</v>
      </c>
      <c r="O11" s="74">
        <f>SUMIFS(機車加油記錄!$G$7:$G$201,機車加油記錄!$C$7:$C$201,"&gt;2012/09/30",機車加油記錄!$C$7:$C$201,"&lt;2012/11/01")</f>
        <v>0</v>
      </c>
      <c r="P11" s="74">
        <f>SUMIFS(機車加油記錄!$G$7:$G$201,機車加油記錄!$C$7:$C$201,"&gt;2012/10/31",機車加油記錄!$C$7:$C$201,"&lt;2012/12/01")</f>
        <v>0</v>
      </c>
      <c r="Q11" s="75">
        <f>SUMIFS(機車加油記錄!$G$7:$G$201,機車加油記錄!$C$7:$C$201,"&gt;2012/11/30",機車加油記錄!$C$7:$C$201,"&lt;2013/01/01")</f>
        <v>0</v>
      </c>
      <c r="R11" s="140">
        <f>(AVERAGEIF(F11:Q11,"&gt;0")+AVERAGEIF(F12:Q12,"&gt;0"))</f>
        <v>1257.9210526315787</v>
      </c>
    </row>
    <row r="12" spans="1:18" ht="16.5" thickBot="1">
      <c r="A12" s="11"/>
      <c r="E12" s="82" t="s">
        <v>52</v>
      </c>
      <c r="F12" s="77">
        <f>SUMIFS(機車加油記錄!$J$7:$J$201,機車加油記錄!$C$7:$C$201,"&gt;2011/12/31",機車加油記錄!$C$7:$C$201,"&lt;2012/02/01")</f>
        <v>0</v>
      </c>
      <c r="G12" s="77">
        <f>SUMIFS(機車加油記錄!$J$7:$J$201,機車加油記錄!$C$7:$C$201,"&gt;2010/01/31",機車加油記錄!$C$7:$C$201,"&lt;2010/03/01")</f>
        <v>0</v>
      </c>
      <c r="H12" s="77">
        <f>SUMIFS(機車加油記錄!$J$7:$J$201,機車加油記錄!$C$7:$C$201,"&gt;2012/02/29",機車加油記錄!$C$7:$C$201,"&lt;2012/04/01")</f>
        <v>300</v>
      </c>
      <c r="I12" s="77">
        <f>SUMIFS(機車加油記錄!$J$7:$J$201,機車加油記錄!$C$7:$C$201,"&gt;2012/03/31",機車加油記錄!$C$7:$C$201,"&lt;2012/05/01")</f>
        <v>566</v>
      </c>
      <c r="J12" s="77">
        <f>SUMIFS(機車加油記錄!$J$7:$J$201,機車加油記錄!$C$7:$C$201,"&gt;2012/04/30",機車加油記錄!$C$7:$C$201,"&lt;2012/06/01")</f>
        <v>1463.2631578947369</v>
      </c>
      <c r="K12" s="77">
        <f>SUMIFS(機車加油記錄!$J$7:$J$201,機車加油記錄!$C$7:$C$201,"&gt;2012/05/31",機車加油記錄!$C$7:$C$201,"&lt;2012/07/01")</f>
        <v>0</v>
      </c>
      <c r="L12" s="77">
        <f>SUMIFS(機車加油記錄!$J$7:$J$201,機車加油記錄!$C$7:$C$201,"&gt;2012/06/30",機車加油記錄!$C$7:$C$201,"&lt;2012/08/01")</f>
        <v>0</v>
      </c>
      <c r="M12" s="77">
        <f>SUMIFS(機車加油記錄!$J$7:$J$201,機車加油記錄!$C$7:$C$201,"&gt;2012/07/31",機車加油記錄!$C$7:$C$201,"&lt;2012/09/01")</f>
        <v>0</v>
      </c>
      <c r="N12" s="77">
        <f>SUMIFS(機車加油記錄!$J$7:$J$201,機車加油記錄!$C$7:$C$201,"&gt;2012/09/31",機車加油記錄!$C$7:$C$201,"&lt;2012/10/01")</f>
        <v>0</v>
      </c>
      <c r="O12" s="77">
        <f>SUMIFS(機車加油記錄!$J$7:$J$201,機車加油記錄!$C$7:$C$201,"&gt;2012/09/30",機車加油記錄!$C$7:$C$201,"&lt;2012/11/01")</f>
        <v>0</v>
      </c>
      <c r="P12" s="77">
        <f>SUMIFS(機車加油記錄!$J$7:$J$201,機車加油記錄!$C$7:$C$201,"&gt;2012/10/31",機車加油記錄!$C$7:$C$201,"&lt;2012/12/01")</f>
        <v>0</v>
      </c>
      <c r="Q12" s="78">
        <f>SUMIFS(機車加油記錄!$J$7:$J$201,機車加油記錄!$C$7:$C$201,"&gt;2012/11/30",機車加油記錄!$C$7:$C$201,"&lt;2013/01/01")</f>
        <v>0</v>
      </c>
      <c r="R12" s="141"/>
    </row>
    <row r="13" spans="1:18">
      <c r="A13" s="11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30"/>
    </row>
    <row r="14" spans="1:18">
      <c r="A14" s="60"/>
      <c r="B14" s="61"/>
    </row>
    <row r="15" spans="1:18">
      <c r="A15" s="62"/>
      <c r="B15" s="62"/>
      <c r="C15" s="24"/>
    </row>
    <row r="16" spans="1:18">
      <c r="A16" s="62"/>
      <c r="B16" s="63"/>
      <c r="C16" s="24"/>
    </row>
    <row r="17" spans="1:18" ht="26.25" thickBot="1">
      <c r="A17" s="64"/>
      <c r="B17" s="57"/>
      <c r="C17" s="24"/>
      <c r="F17" s="139" t="s">
        <v>40</v>
      </c>
      <c r="G17" s="139"/>
      <c r="H17" s="139"/>
    </row>
    <row r="18" spans="1:18" ht="16.5" thickBot="1">
      <c r="A18" s="65"/>
      <c r="B18" s="57"/>
      <c r="C18" s="24"/>
      <c r="E18" s="69" t="s">
        <v>35</v>
      </c>
      <c r="F18" s="70" t="s">
        <v>29</v>
      </c>
      <c r="G18" s="70" t="s">
        <v>30</v>
      </c>
      <c r="H18" s="70" t="s">
        <v>31</v>
      </c>
      <c r="I18" s="70" t="s">
        <v>32</v>
      </c>
      <c r="J18" s="70" t="s">
        <v>33</v>
      </c>
      <c r="K18" s="70" t="s">
        <v>34</v>
      </c>
      <c r="L18" s="70" t="s">
        <v>10</v>
      </c>
      <c r="M18" s="70" t="s">
        <v>11</v>
      </c>
      <c r="N18" s="70" t="s">
        <v>12</v>
      </c>
      <c r="O18" s="70" t="s">
        <v>13</v>
      </c>
      <c r="P18" s="70" t="s">
        <v>14</v>
      </c>
      <c r="Q18" s="71" t="s">
        <v>15</v>
      </c>
      <c r="R18" s="72" t="s">
        <v>36</v>
      </c>
    </row>
    <row r="19" spans="1:18">
      <c r="A19" s="65"/>
      <c r="B19" s="57"/>
      <c r="C19" s="24"/>
      <c r="E19" s="73" t="s">
        <v>47</v>
      </c>
      <c r="F19" s="74">
        <f>SUMIFS(汽車加油記錄!$G$7:$G$200,汽車加油記錄!$C$7:$C$200,"&gt;2009/12/31",汽車加油記錄!$C$7:$C$200,"&lt;2010/02/01")</f>
        <v>852</v>
      </c>
      <c r="G19" s="74">
        <f>SUMIFS(汽車加油記錄!$G$7:$G$200,汽車加油記錄!$C$7:$C$200,"&gt;2010/01/31",汽車加油記錄!$C$7:$C$200,"&lt;2010/03/01")</f>
        <v>0</v>
      </c>
      <c r="H19" s="74">
        <f>SUMIFS(汽車加油記錄!$G$7:$G$200,汽車加油記錄!$C$7:$C$200,"&gt;2010/02/28",汽車加油記錄!$C$7:$C$200,"&lt;2010/04/01")</f>
        <v>0</v>
      </c>
      <c r="I19" s="74">
        <f>SUMIFS(汽車加油記錄!$G$7:$G$200,汽車加油記錄!$C$7:$C$200,"&gt;2010/03/31",汽車加油記錄!$C$7:$C$200,"&lt;2010/05/01")</f>
        <v>0</v>
      </c>
      <c r="J19" s="74">
        <f>SUMIFS(汽車加油記錄!$G$7:$G$200,汽車加油記錄!$C$7:$C$200,"&gt;2010/04/30",汽車加油記錄!$C$7:$C$200,"&lt;2010/06/01")</f>
        <v>0</v>
      </c>
      <c r="K19" s="74">
        <f>SUMIFS(汽車加油記錄!$G$7:$G$200,汽車加油記錄!$C$7:$C$200,"&gt;2010/05/31",汽車加油記錄!$C$7:$C$200,"&lt;2010/07/01")</f>
        <v>0</v>
      </c>
      <c r="L19" s="74">
        <f>SUMIFS(汽車加油記錄!$G$7:$G$200,汽車加油記錄!$C$7:$C$200,"&gt;2010/06/30",汽車加油記錄!$C$7:$C$200,"&lt;2010/08/01")</f>
        <v>0</v>
      </c>
      <c r="M19" s="74">
        <f>SUMIFS(汽車加油記錄!$G$7:$G$200,汽車加油記錄!$C$7:$C$200,"&gt;2010/07/31",汽車加油記錄!$C$7:$C$200,"&lt;2010/09/01")</f>
        <v>0</v>
      </c>
      <c r="N19" s="74">
        <f>SUMIFS(汽車加油記錄!$G$7:$G$200,汽車加油記錄!$C$7:$C$200,"&gt;2010/08/31",汽車加油記錄!$C$7:$C$200,"&lt;2010/10/01")</f>
        <v>0</v>
      </c>
      <c r="O19" s="74">
        <f>SUMIFS(汽車加油記錄!$G$7:$G$200,汽車加油記錄!$C$7:$C$200,"&gt;2010/09/30",汽車加油記錄!$C$7:$C$200,"&lt;2010/11/01")</f>
        <v>0</v>
      </c>
      <c r="P19" s="74">
        <f>SUMIFS(汽車加油記錄!$G$7:$G$200,汽車加油記錄!$C$7:$C$200,"&gt;2010/10/31",汽車加油記錄!$C$7:$C$200,"&lt;2010/12/01")</f>
        <v>0</v>
      </c>
      <c r="Q19" s="75">
        <f>SUMIFS(汽車加油記錄!$G$7:$G$200,汽車加油記錄!$C$7:$C$200,"&gt;2010/11/30",汽車加油記錄!$C$7:$C$200,"&lt;2011/01/01")</f>
        <v>0</v>
      </c>
      <c r="R19" s="140">
        <f>(AVERAGEIF(F19:Q19,"&gt;0")+AVERAGEIF(F20:Q20,"&gt;0"))</f>
        <v>1852</v>
      </c>
    </row>
    <row r="20" spans="1:18" ht="16.5" thickBot="1">
      <c r="A20" s="23"/>
      <c r="B20" s="22"/>
      <c r="C20" s="21"/>
      <c r="E20" s="76" t="s">
        <v>48</v>
      </c>
      <c r="F20" s="77">
        <f>SUMIFS(汽車加油記錄!$J$7:$J$200,汽車加油記錄!$C$7:$C$200,"&gt;2009/12/31",汽車加油記錄!$C$7:$C$200,"&lt;2010/02/01")</f>
        <v>1000</v>
      </c>
      <c r="G20" s="77">
        <f>SUMIFS(汽車加油記錄!$J$7:$J$200,汽車加油記錄!$C$7:$C$200,"&gt;2010/01/31",汽車加油記錄!$C$7:$C$200,"&lt;2010/03/01")</f>
        <v>0</v>
      </c>
      <c r="H20" s="77">
        <f>SUMIFS(汽車加油記錄!$J$7:$J$200,汽車加油記錄!$C$7:$C$200,"&gt;2010/02/28",汽車加油記錄!$C$7:$C$200,"&lt;2010/04/01")</f>
        <v>0</v>
      </c>
      <c r="I20" s="77">
        <f>SUMIFS(汽車加油記錄!$J$7:$J$200,汽車加油記錄!$C$7:$C$200,"&gt;2010/03/31",汽車加油記錄!$C$7:$C$200,"&lt;2010/05/01")</f>
        <v>0</v>
      </c>
      <c r="J20" s="77">
        <f>SUMIFS(汽車加油記錄!$J$7:$J$200,汽車加油記錄!$C$7:$C$200,"&gt;2010/04/30",汽車加油記錄!$C$7:$C$200,"&lt;2010/06/01")</f>
        <v>0</v>
      </c>
      <c r="K20" s="77">
        <f>SUMIFS(汽車加油記錄!$J$7:$J$200,汽車加油記錄!$C$7:$C$200,"&gt;2010/05/31",汽車加油記錄!$C$7:$C$200,"&lt;2010/07/01")</f>
        <v>0</v>
      </c>
      <c r="L20" s="77">
        <f>SUMIFS(汽車加油記錄!$J$7:$J$200,汽車加油記錄!$C$7:$C$200,"&gt;2009/06/30",汽車加油記錄!$C$7:$C$200,"&lt;2009/08/01")</f>
        <v>0</v>
      </c>
      <c r="M20" s="77">
        <f>SUMIFS(汽車加油記錄!$J$7:$J$200,汽車加油記錄!$C$7:$C$200,"&gt;2010/07/31",汽車加油記錄!$C$7:$C$200,"&lt;2010/09/01")</f>
        <v>0</v>
      </c>
      <c r="N20" s="77">
        <f>SUMIFS(汽車加油記錄!$J$7:$J$200,汽車加油記錄!$C$7:$C$200,"&gt;2010/08/31",汽車加油記錄!$C$7:$C$200,"&lt;2010/10/01")</f>
        <v>0</v>
      </c>
      <c r="O20" s="77">
        <f>SUMIFS(汽車加油記錄!$J$7:$J$200,汽車加油記錄!$C$7:$C$200,"&gt;2010/09/30",汽車加油記錄!$C$7:$C$200,"&lt;2010/11/01")</f>
        <v>0</v>
      </c>
      <c r="P20" s="77">
        <f>SUMIFS(汽車加油記錄!$J$7:$J$200,汽車加油記錄!$C$7:$C$200,"&gt;2010/10/31",汽車加油記錄!$C$7:$C$200,"&lt;2010/12/01")</f>
        <v>0</v>
      </c>
      <c r="Q20" s="78">
        <f>SUMIFS(汽車加油記錄!$J$7:$J$200,汽車加油記錄!$C$7:$C$200,"&gt;2010/11/30",汽車加油記錄!$C$7:$C$200,"&lt;2011/01/01")</f>
        <v>0</v>
      </c>
      <c r="R20" s="141"/>
    </row>
    <row r="21" spans="1:18">
      <c r="A21" s="23"/>
      <c r="B21" s="22"/>
      <c r="C21" s="21"/>
      <c r="E21" s="79" t="s">
        <v>49</v>
      </c>
      <c r="F21" s="74">
        <f>SUMIFS(汽車加油記錄!$G$7:$G$200,汽車加油記錄!$C$7:$C$200,"&gt;2010/12/31",汽車加油記錄!$C$7:$C$200,"&lt;2011/02/01")</f>
        <v>0</v>
      </c>
      <c r="G21" s="74">
        <f>SUMIFS(汽車加油記錄!$G$7:$G$200,汽車加油記錄!$C$7:$C$200,"&gt;2011/01/31",汽車加油記錄!$C$7:$C$200,"&lt;2011/03/01")</f>
        <v>966</v>
      </c>
      <c r="H21" s="74">
        <f>SUMIFS(汽車加油記錄!$G$7:$G$200,汽車加油記錄!$C$7:$C$200,"&gt;2011/02/28",汽車加油記錄!$C$7:$C$200,"&lt;2011/04/01")</f>
        <v>0</v>
      </c>
      <c r="I21" s="74">
        <f>SUMIFS(汽車加油記錄!$G$7:$G$200,汽車加油記錄!$C$7:$C$200,"&gt;2011/03/31",汽車加油記錄!$C$7:$C$200,"&lt;2011/05/01")</f>
        <v>0</v>
      </c>
      <c r="J21" s="74">
        <f>SUMIFS(汽車加油記錄!$G$7:$G$200,汽車加油記錄!$C$7:$C$200,"&gt;2011/04/30",汽車加油記錄!$C$7:$C$200,"&lt;2011/06/01")</f>
        <v>0</v>
      </c>
      <c r="K21" s="74">
        <f>SUMIFS(汽車加油記錄!$G$7:$G$200,汽車加油記錄!$C$7:$C$200,"&gt;2011/05/31",汽車加油記錄!$C$7:$C$200,"&lt;2011/07/01")</f>
        <v>0</v>
      </c>
      <c r="L21" s="74">
        <f>SUMIFS(汽車加油記錄!$G$7:$G$200,汽車加油記錄!$C$7:$C$200,"&gt;2011/06/30",汽車加油記錄!$C$7:$C$200,"&lt;2011/08/01")</f>
        <v>0</v>
      </c>
      <c r="M21" s="74">
        <f>SUMIFS(汽車加油記錄!$G$7:$G$200,汽車加油記錄!$C$7:$C$200,"&gt;2011/07/31",汽車加油記錄!$C$7:$C$200,"&lt;2011/09/01")</f>
        <v>0</v>
      </c>
      <c r="N21" s="74">
        <f>SUMIFS(汽車加油記錄!$G$7:$G$200,汽車加油記錄!$C$7:$C$200,"&gt;2011/08/31",汽車加油記錄!$C$7:$C$200,"&lt;2011/10/01")</f>
        <v>0</v>
      </c>
      <c r="O21" s="74">
        <f>SUMIFS(汽車加油記錄!$G$7:$G$200,汽車加油記錄!$C$7:$C$200,"&gt;2011/09/30",汽車加油記錄!$C$7:$C$200,"&lt;2011/11/01")</f>
        <v>0</v>
      </c>
      <c r="P21" s="74">
        <f>SUMIFS(汽車加油記錄!$G$7:$G$200,汽車加油記錄!$C$7:$C$200,"&gt;2011/10/31",汽車加油記錄!$C$7:$C$200,"&lt;2011/12/01")</f>
        <v>0</v>
      </c>
      <c r="Q21" s="75">
        <f>SUMIFS(汽車加油記錄!$G$7:$G$200,汽車加油記錄!$C$7:$C$200,"&gt;2011/11/30",汽車加油記錄!$C$7:$C$200,"&lt;2012/01/01")</f>
        <v>0</v>
      </c>
      <c r="R21" s="140">
        <f>(AVERAGEIF(F21:Q21,"&gt;0")+AVERAGEIF(F22:Q22,"&gt;0"))</f>
        <v>1071</v>
      </c>
    </row>
    <row r="22" spans="1:18" ht="16.5" thickBot="1">
      <c r="A22" s="23"/>
      <c r="B22" s="22"/>
      <c r="C22" s="21"/>
      <c r="E22" s="80" t="s">
        <v>50</v>
      </c>
      <c r="F22" s="77">
        <f>SUMIFS(汽車加油記錄!$J$7:$J$200,汽車加油記錄!$C$7:$C$200,"&gt;2010/12/31",汽車加油記錄!$C$7:$C$200,"&lt;2011/02/01")</f>
        <v>0</v>
      </c>
      <c r="G22" s="77">
        <f>SUMIFS(汽車加油記錄!$J$7:$J$200,汽車加油記錄!$C$7:$C$200,"&gt;2011/01/31",汽車加油記錄!$C$7:$C$200,"&lt;2011/03/01")</f>
        <v>105</v>
      </c>
      <c r="H22" s="77">
        <f>SUMIFS(汽車加油記錄!$J$7:$J$200,汽車加油記錄!$C$7:$C$200,"&gt;2011/02/28",汽車加油記錄!$C$7:$C$200,"&lt;2011/04/01")</f>
        <v>0</v>
      </c>
      <c r="I22" s="77">
        <f>SUMIFS(汽車加油記錄!$J$7:$J$200,汽車加油記錄!$C$7:$C$200,"&gt;2011/03/31",汽車加油記錄!$C$7:$C$200,"&lt;2011/05/01")</f>
        <v>0</v>
      </c>
      <c r="J22" s="77">
        <f>SUMIFS(汽車加油記錄!$J$7:$J$200,汽車加油記錄!$C$7:$C$200,"&gt;2011/04/30",汽車加油記錄!$C$7:$C$200,"&lt;2011/06/01")</f>
        <v>0</v>
      </c>
      <c r="K22" s="77">
        <f>SUMIFS(汽車加油記錄!$J$7:$J$200,汽車加油記錄!$C$7:$C$200,"&gt;2011/05/31",汽車加油記錄!$C$7:$C$200,"&lt;2011/07/01")</f>
        <v>0</v>
      </c>
      <c r="L22" s="77">
        <f>SUMIFS(汽車加油記錄!$J$7:$J$200,汽車加油記錄!$C$7:$C$200,"&gt;2011/06/30",汽車加油記錄!$C$7:$C$200,"&lt;2011/08/01")</f>
        <v>0</v>
      </c>
      <c r="M22" s="77">
        <f>SUMIFS(汽車加油記錄!$J$7:$J$200,汽車加油記錄!$C$7:$C$200,"&gt;2011/07/31",汽車加油記錄!$C$7:$C$200,"&lt;2011/09/01")</f>
        <v>0</v>
      </c>
      <c r="N22" s="77">
        <f>SUMIFS(汽車加油記錄!$J$7:$J$200,汽車加油記錄!$C$7:$C$200,"&gt;2011/08/31",汽車加油記錄!$C$7:$C$200,"&lt;2011/10/01")</f>
        <v>0</v>
      </c>
      <c r="O22" s="77">
        <f>SUMIFS(汽車加油記錄!$J$7:$J$200,汽車加油記錄!$C$7:$C$200,"&gt;2011/09/30",汽車加油記錄!$C$7:$C$200,"&lt;2011/11/01")</f>
        <v>0</v>
      </c>
      <c r="P22" s="77">
        <f>SUMIFS(汽車加油記錄!$J$7:$J$200,汽車加油記錄!$C$7:$C$200,"&gt;2011/10/31",汽車加油記錄!$C$7:$C$200,"&lt;2011/12/01")</f>
        <v>0</v>
      </c>
      <c r="Q22" s="78">
        <f>SUMIFS(汽車加油記錄!$J$7:$J$200,汽車加油記錄!$C$7:$C$200,"&gt;2011/11/30",汽車加油記錄!$C$7:$C$200,"&lt;2012/01/01")</f>
        <v>0</v>
      </c>
      <c r="R22" s="141"/>
    </row>
    <row r="23" spans="1:18">
      <c r="A23" s="23"/>
      <c r="B23" s="22"/>
      <c r="C23" s="21"/>
      <c r="E23" s="81" t="s">
        <v>51</v>
      </c>
      <c r="F23" s="74">
        <f>SUMIFS(汽車加油記錄!$G$7:$G$200,汽車加油記錄!$C$7:$C$200,"&gt;2011/12/31",汽車加油記錄!$C$7:$C$200,"&lt;2012/02/01")</f>
        <v>0</v>
      </c>
      <c r="G23" s="74">
        <f>SUMIFS(汽車加油記錄!$G$7:$G$200,汽車加油記錄!$C$7:$C$200,"&gt;2012/01/31",汽車加油記錄!$C$7:$C$200,"&lt;2012/03/01")</f>
        <v>834</v>
      </c>
      <c r="H23" s="74">
        <f>SUMIFS(汽車加油記錄!$G$7:$G$200,汽車加油記錄!$C$7:$C$200,"&gt;2012/02/29",汽車加油記錄!$C$7:$C$200,"&lt;2012/04/01")</f>
        <v>1757</v>
      </c>
      <c r="I23" s="74">
        <f>SUMIFS(汽車加油記錄!$G$7:$G$200,汽車加油記錄!$C$7:$C$200,"&gt;2012/03/31",汽車加油記錄!$C$7:$C$200,"&lt;2012/05/01")</f>
        <v>1652</v>
      </c>
      <c r="J23" s="74">
        <f>SUMIFS(汽車加油記錄!$G$7:$G$200,汽車加油記錄!$C$7:$C$200,"&gt;2012/04/30",汽車加油記錄!$C$7:$C$200,"&lt;2012/06/01")</f>
        <v>1653</v>
      </c>
      <c r="K23" s="74">
        <f>SUMIFS(汽車加油記錄!$G$7:$G$200,汽車加油記錄!$C$7:$C$200,"&gt;2012/05/31",汽車加油記錄!$C$7:$C$200,"&lt;2012/07/01")</f>
        <v>1749</v>
      </c>
      <c r="L23" s="74">
        <f>SUMIFS(汽車加油記錄!$G$7:$G$200,汽車加油記錄!$C$7:$C$200,"&gt;2012/06/30",汽車加油記錄!$C$7:$C$200,"&lt;2012/08/01")</f>
        <v>1581</v>
      </c>
      <c r="M23" s="74">
        <f>SUMIFS(汽車加油記錄!$G$7:$G$200,汽車加油記錄!$C$7:$C$200,"&gt;2012/07/31",汽車加油記錄!$C$7:$C$200,"&lt;2012/09/01")</f>
        <v>701</v>
      </c>
      <c r="N23" s="74">
        <f>SUMIFS(汽車加油記錄!$G$7:$G$200,汽車加油記錄!$C$7:$C$200,"&gt;2012/08/31",汽車加油記錄!$C$7:$C$200,"&lt;2012/10/01")</f>
        <v>0</v>
      </c>
      <c r="O23" s="74">
        <f>SUMIFS(汽車加油記錄!$G$7:$G$200,汽車加油記錄!$C$7:$C$200,"&gt;2012/09/30",汽車加油記錄!$C$7:$C$200,"&lt;2012/11/01")</f>
        <v>0</v>
      </c>
      <c r="P23" s="74">
        <f>SUMIFS(汽車加油記錄!$G$7:$G$200,汽車加油記錄!$C$7:$C$200,"&gt;2012/10/31",汽車加油記錄!$C$7:$C$200,"&lt;2012/12/01")</f>
        <v>0</v>
      </c>
      <c r="Q23" s="75">
        <f>SUMIFS(汽車加油記錄!$G$7:$G$200,汽車加油記錄!$C$7:$C$200,"&gt;2012/11/30",汽車加油記錄!$C$7:$C$200,"&lt;2013/01/01")</f>
        <v>0</v>
      </c>
      <c r="R23" s="140">
        <f>(AVERAGEIF(F23:Q23,"&gt;0")+AVERAGEIF(F24:Q24,"&gt;0"))</f>
        <v>4418.1428571428569</v>
      </c>
    </row>
    <row r="24" spans="1:18" ht="16.5" thickBot="1">
      <c r="A24" s="23"/>
      <c r="B24" s="22"/>
      <c r="C24" s="21"/>
      <c r="E24" s="82" t="s">
        <v>52</v>
      </c>
      <c r="F24" s="77">
        <f>SUMIFS(汽車加油記錄!$J$7:$J$200,汽車加油記錄!$C$7:$C$200,"&gt;2011/12/31",汽車加油記錄!$C$7:$C$200,"&lt;2012/02/01")</f>
        <v>0</v>
      </c>
      <c r="G24" s="77">
        <f>SUMIFS(汽車加油記錄!$J$7:$J$200,汽車加油記錄!$C$7:$C$200,"&gt;2012/01/31",汽車加油記錄!$C$7:$C$200,"&lt;2012/03/01")</f>
        <v>3000</v>
      </c>
      <c r="H24" s="77">
        <f>SUMIFS(汽車加油記錄!$J$7:$J$200,汽車加油記錄!$C$7:$C$200,"&gt;2012/02/29",汽車加油記錄!$C$7:$C$200,"&lt;2012/04/01")</f>
        <v>0</v>
      </c>
      <c r="I24" s="77">
        <f>SUMIFS(汽車加油記錄!$J$7:$J$200,汽車加油記錄!$C$7:$C$200,"&gt;2012/03/31",汽車加油記錄!$C$7:$C$200,"&lt;2012/05/01")</f>
        <v>0</v>
      </c>
      <c r="J24" s="77">
        <f>SUMIFS(汽車加油記錄!$J$7:$J$200,汽車加油記錄!$C$7:$C$200,"&gt;2012/04/30",汽車加油記錄!$C$7:$C$200,"&lt;2012/06/01")</f>
        <v>0</v>
      </c>
      <c r="K24" s="77">
        <f>SUMIFS(汽車加油記錄!$J$7:$J$200,汽車加油記錄!$C$7:$C$200,"&gt;2012/05/31",汽車加油記錄!$C$7:$C$200,"&lt;2012/07/01")</f>
        <v>0</v>
      </c>
      <c r="L24" s="77">
        <f>SUMIFS(汽車加油記錄!$J$7:$J$200,汽車加油記錄!$C$7:$C$200,"&gt;2012/06/30",汽車加油記錄!$C$7:$C$200,"&lt;2012/08/01")</f>
        <v>0</v>
      </c>
      <c r="M24" s="77">
        <f>SUMIFS(汽車加油記錄!$J$7:$J$200,汽車加油記錄!$C$7:$C$200,"&gt;2012/07/31",汽車加油記錄!$C$7:$C$200,"&lt;2012/09/01")</f>
        <v>0</v>
      </c>
      <c r="N24" s="77">
        <f>SUMIFS(汽車加油記錄!$J$7:$J$200,汽車加油記錄!$C$7:$C$200,"&gt;2012/08/31",汽車加油記錄!$C$7:$C$200,"&lt;2012/10/01")</f>
        <v>0</v>
      </c>
      <c r="O24" s="77">
        <f>SUMIFS(汽車加油記錄!$J$7:$J$200,汽車加油記錄!$C$7:$C$200,"&gt;2012/09/30",汽車加油記錄!$C$7:$C$200,"&lt;2012/11/01")</f>
        <v>0</v>
      </c>
      <c r="P24" s="77">
        <f>SUMIFS(汽車加油記錄!$J$7:$J$200,汽車加油記錄!$C$7:$C$200,"&gt;2012/10/31",汽車加油記錄!$C$7:$C$200,"&lt;2012/12/01")</f>
        <v>0</v>
      </c>
      <c r="Q24" s="78">
        <f>SUMIFS(汽車加油記錄!$J$7:$J$200,汽車加油記錄!$C$7:$C$200,"&gt;2012/11/30",汽車加油記錄!$C$7:$C$200,"&lt;2013/01/01")</f>
        <v>0</v>
      </c>
      <c r="R24" s="141"/>
    </row>
    <row r="25" spans="1:18">
      <c r="A25" s="23"/>
      <c r="B25" s="22"/>
      <c r="C25" s="21"/>
    </row>
    <row r="26" spans="1:18">
      <c r="A26" s="23"/>
      <c r="B26" s="22"/>
      <c r="C26" s="21"/>
    </row>
    <row r="27" spans="1:18">
      <c r="A27" s="23"/>
      <c r="B27" s="22"/>
      <c r="C27" s="21"/>
    </row>
    <row r="28" spans="1:18">
      <c r="A28" s="23"/>
      <c r="B28" s="22"/>
      <c r="C28" s="21"/>
    </row>
    <row r="29" spans="1:18">
      <c r="A29" s="23"/>
      <c r="B29" s="22"/>
      <c r="C29" s="21"/>
    </row>
    <row r="30" spans="1:18">
      <c r="A30" s="23"/>
      <c r="B30" s="22"/>
      <c r="C30" s="21"/>
    </row>
    <row r="31" spans="1:18">
      <c r="A31" s="23"/>
      <c r="B31" s="22"/>
      <c r="C31" s="21"/>
    </row>
    <row r="32" spans="1:18">
      <c r="A32" s="23"/>
      <c r="B32" s="22"/>
      <c r="C32" s="21"/>
    </row>
    <row r="33" spans="1:3">
      <c r="A33" s="23"/>
      <c r="B33" s="22"/>
      <c r="C33" s="21"/>
    </row>
    <row r="34" spans="1:3">
      <c r="A34" s="23"/>
      <c r="B34" s="22"/>
      <c r="C34" s="21"/>
    </row>
    <row r="35" spans="1:3">
      <c r="A35" s="24"/>
      <c r="B35" s="22"/>
      <c r="C35" s="21"/>
    </row>
    <row r="36" spans="1:3">
      <c r="A36" s="24"/>
      <c r="B36" s="22"/>
      <c r="C36" s="21"/>
    </row>
    <row r="37" spans="1:3">
      <c r="A37" s="24"/>
      <c r="B37" s="22"/>
      <c r="C37" s="21"/>
    </row>
    <row r="38" spans="1:3">
      <c r="A38" s="24"/>
      <c r="B38" s="22"/>
      <c r="C38" s="21"/>
    </row>
    <row r="39" spans="1:3">
      <c r="A39" s="24"/>
      <c r="B39" s="22"/>
      <c r="C39" s="21"/>
    </row>
    <row r="40" spans="1:3">
      <c r="A40" s="24"/>
      <c r="B40" s="22"/>
      <c r="C40" s="21"/>
    </row>
    <row r="41" spans="1:3">
      <c r="A41" s="24"/>
      <c r="B41" s="24"/>
      <c r="C41" s="24"/>
    </row>
    <row r="42" spans="1:3">
      <c r="A42" s="24"/>
      <c r="B42" s="24"/>
      <c r="C42" s="24"/>
    </row>
    <row r="43" spans="1:3">
      <c r="A43" s="24"/>
      <c r="B43" s="24"/>
      <c r="C43" s="24"/>
    </row>
    <row r="44" spans="1:3">
      <c r="A44" s="24"/>
      <c r="B44" s="24"/>
      <c r="C44" s="24"/>
    </row>
    <row r="45" spans="1:3">
      <c r="A45" s="24"/>
      <c r="B45" s="24"/>
      <c r="C45" s="24"/>
    </row>
    <row r="46" spans="1:3">
      <c r="A46" s="24"/>
      <c r="B46" s="24"/>
      <c r="C46" s="24"/>
    </row>
    <row r="47" spans="1:3">
      <c r="A47" s="24"/>
      <c r="B47" s="24"/>
      <c r="C47" s="24"/>
    </row>
    <row r="48" spans="1:3">
      <c r="A48" s="24"/>
      <c r="B48" s="24"/>
      <c r="C48" s="24"/>
    </row>
    <row r="49" spans="1:3">
      <c r="A49" s="24"/>
      <c r="B49" s="24"/>
      <c r="C49" s="24"/>
    </row>
    <row r="50" spans="1:3">
      <c r="A50" s="24"/>
      <c r="B50" s="24"/>
      <c r="C50" s="24"/>
    </row>
    <row r="51" spans="1:3">
      <c r="A51" s="24"/>
      <c r="B51" s="24"/>
      <c r="C51" s="24"/>
    </row>
    <row r="52" spans="1:3">
      <c r="A52" s="24"/>
      <c r="B52" s="24"/>
      <c r="C52" s="24"/>
    </row>
    <row r="53" spans="1:3">
      <c r="A53" s="24"/>
      <c r="B53" s="24"/>
      <c r="C53" s="24"/>
    </row>
    <row r="54" spans="1:3">
      <c r="A54" s="24"/>
      <c r="B54" s="24"/>
      <c r="C54" s="24"/>
    </row>
    <row r="55" spans="1:3">
      <c r="A55" s="24"/>
      <c r="B55" s="24"/>
      <c r="C55" s="24"/>
    </row>
    <row r="56" spans="1:3">
      <c r="A56" s="24"/>
      <c r="B56" s="24"/>
      <c r="C56" s="24"/>
    </row>
    <row r="57" spans="1:3">
      <c r="A57" s="24"/>
      <c r="B57" s="24"/>
      <c r="C57" s="24"/>
    </row>
    <row r="58" spans="1:3">
      <c r="A58" s="24"/>
      <c r="B58" s="24"/>
      <c r="C58" s="24"/>
    </row>
    <row r="59" spans="1:3">
      <c r="A59" s="24"/>
      <c r="B59" s="24"/>
      <c r="C59" s="24"/>
    </row>
    <row r="60" spans="1:3">
      <c r="A60" s="24"/>
      <c r="B60" s="24"/>
      <c r="C60" s="24"/>
    </row>
    <row r="61" spans="1:3">
      <c r="A61" s="24"/>
      <c r="B61" s="24"/>
      <c r="C61" s="24"/>
    </row>
    <row r="62" spans="1:3">
      <c r="A62" s="24"/>
      <c r="B62" s="24"/>
      <c r="C62" s="24"/>
    </row>
    <row r="63" spans="1:3">
      <c r="A63" s="24"/>
      <c r="B63" s="24"/>
      <c r="C63" s="24"/>
    </row>
    <row r="64" spans="1:3">
      <c r="A64" s="24"/>
      <c r="B64" s="24"/>
      <c r="C64" s="24"/>
    </row>
    <row r="65" spans="1:3">
      <c r="A65" s="24"/>
      <c r="B65" s="24"/>
      <c r="C65" s="24"/>
    </row>
    <row r="66" spans="1:3">
      <c r="A66" s="24"/>
      <c r="B66" s="24"/>
      <c r="C66" s="24"/>
    </row>
    <row r="67" spans="1:3">
      <c r="A67" s="24"/>
      <c r="B67" s="24"/>
      <c r="C67" s="24"/>
    </row>
    <row r="68" spans="1:3">
      <c r="A68" s="24"/>
      <c r="B68" s="24"/>
      <c r="C68" s="24"/>
    </row>
    <row r="69" spans="1:3">
      <c r="A69" s="24"/>
      <c r="B69" s="24"/>
      <c r="C69" s="24"/>
    </row>
    <row r="70" spans="1:3">
      <c r="A70" s="24"/>
      <c r="B70" s="24"/>
      <c r="C70" s="24"/>
    </row>
    <row r="71" spans="1:3">
      <c r="A71" s="24"/>
      <c r="B71" s="24"/>
      <c r="C71" s="24"/>
    </row>
    <row r="72" spans="1:3">
      <c r="A72" s="24"/>
      <c r="B72" s="24"/>
      <c r="C72" s="24"/>
    </row>
    <row r="73" spans="1:3">
      <c r="A73" s="24"/>
      <c r="B73" s="24"/>
      <c r="C73" s="24"/>
    </row>
    <row r="74" spans="1:3">
      <c r="A74" s="24"/>
      <c r="B74" s="24"/>
      <c r="C74" s="24"/>
    </row>
    <row r="75" spans="1:3">
      <c r="A75" s="24"/>
      <c r="B75" s="24"/>
      <c r="C75" s="24"/>
    </row>
    <row r="76" spans="1:3">
      <c r="A76" s="24"/>
      <c r="B76" s="24"/>
      <c r="C76" s="24"/>
    </row>
    <row r="77" spans="1:3">
      <c r="A77" s="24"/>
      <c r="B77" s="24"/>
      <c r="C77" s="24"/>
    </row>
    <row r="78" spans="1:3">
      <c r="A78" s="24"/>
      <c r="B78" s="24"/>
      <c r="C78" s="24"/>
    </row>
    <row r="79" spans="1:3">
      <c r="A79" s="24"/>
      <c r="B79" s="24"/>
      <c r="C79" s="24"/>
    </row>
    <row r="80" spans="1:3">
      <c r="A80" s="24"/>
      <c r="B80" s="24"/>
      <c r="C80" s="24"/>
    </row>
    <row r="81" spans="1:3">
      <c r="A81" s="24"/>
      <c r="B81" s="24"/>
      <c r="C81" s="24"/>
    </row>
    <row r="82" spans="1:3">
      <c r="A82" s="24"/>
      <c r="B82" s="24"/>
      <c r="C82" s="24"/>
    </row>
    <row r="83" spans="1:3">
      <c r="A83" s="24"/>
      <c r="B83" s="24"/>
      <c r="C83" s="24"/>
    </row>
    <row r="84" spans="1:3">
      <c r="A84" s="24"/>
      <c r="B84" s="24"/>
      <c r="C84" s="24"/>
    </row>
    <row r="85" spans="1:3">
      <c r="A85" s="24"/>
      <c r="B85" s="24"/>
      <c r="C85" s="24"/>
    </row>
    <row r="86" spans="1:3">
      <c r="A86" s="24"/>
      <c r="B86" s="24"/>
      <c r="C86" s="24"/>
    </row>
    <row r="87" spans="1:3">
      <c r="A87" s="24"/>
      <c r="B87" s="24"/>
      <c r="C87" s="24"/>
    </row>
    <row r="88" spans="1:3">
      <c r="A88" s="24"/>
      <c r="B88" s="24"/>
      <c r="C88" s="24"/>
    </row>
    <row r="89" spans="1:3">
      <c r="A89" s="24"/>
      <c r="B89" s="24"/>
      <c r="C89" s="24"/>
    </row>
    <row r="90" spans="1:3">
      <c r="A90" s="24"/>
      <c r="B90" s="24"/>
      <c r="C90" s="24"/>
    </row>
    <row r="91" spans="1:3">
      <c r="A91" s="24"/>
      <c r="B91" s="24"/>
      <c r="C91" s="24"/>
    </row>
    <row r="92" spans="1:3">
      <c r="A92" s="24"/>
      <c r="B92" s="24"/>
      <c r="C92" s="24"/>
    </row>
    <row r="93" spans="1:3">
      <c r="A93" s="24"/>
      <c r="B93" s="24"/>
      <c r="C93" s="24"/>
    </row>
    <row r="94" spans="1:3">
      <c r="A94" s="24"/>
      <c r="B94" s="24"/>
      <c r="C94" s="24"/>
    </row>
    <row r="95" spans="1:3">
      <c r="A95" s="24"/>
      <c r="B95" s="24"/>
      <c r="C95" s="24"/>
    </row>
    <row r="96" spans="1:3">
      <c r="A96" s="24"/>
      <c r="B96" s="24"/>
      <c r="C96" s="24"/>
    </row>
    <row r="97" spans="1:3">
      <c r="A97" s="24"/>
      <c r="B97" s="24"/>
      <c r="C97" s="24"/>
    </row>
    <row r="98" spans="1:3">
      <c r="A98" s="24"/>
      <c r="B98" s="24"/>
      <c r="C98" s="24"/>
    </row>
    <row r="99" spans="1:3">
      <c r="A99" s="24"/>
      <c r="B99" s="24"/>
      <c r="C99" s="24"/>
    </row>
    <row r="100" spans="1:3">
      <c r="A100" s="24"/>
      <c r="B100" s="24"/>
      <c r="C100" s="24"/>
    </row>
    <row r="101" spans="1:3">
      <c r="A101" s="24"/>
      <c r="B101" s="24"/>
      <c r="C101" s="24"/>
    </row>
    <row r="102" spans="1:3">
      <c r="A102" s="24"/>
      <c r="B102" s="24"/>
      <c r="C102" s="24"/>
    </row>
    <row r="103" spans="1:3">
      <c r="A103" s="24"/>
      <c r="B103" s="24"/>
      <c r="C103" s="24"/>
    </row>
    <row r="104" spans="1:3">
      <c r="A104" s="24"/>
      <c r="B104" s="24"/>
      <c r="C104" s="24"/>
    </row>
    <row r="105" spans="1:3">
      <c r="A105" s="24"/>
      <c r="B105" s="24"/>
      <c r="C105" s="24"/>
    </row>
    <row r="106" spans="1:3">
      <c r="A106" s="24"/>
      <c r="B106" s="24"/>
      <c r="C106" s="24"/>
    </row>
    <row r="107" spans="1:3">
      <c r="A107" s="24"/>
      <c r="B107" s="24"/>
      <c r="C107" s="24"/>
    </row>
    <row r="108" spans="1:3">
      <c r="A108" s="24"/>
      <c r="B108" s="24"/>
      <c r="C108" s="24"/>
    </row>
    <row r="109" spans="1:3">
      <c r="A109" s="24"/>
      <c r="B109" s="24"/>
      <c r="C109" s="24"/>
    </row>
    <row r="110" spans="1:3">
      <c r="A110" s="24"/>
      <c r="B110" s="24"/>
      <c r="C110" s="24"/>
    </row>
    <row r="111" spans="1:3">
      <c r="A111" s="24"/>
      <c r="B111" s="24"/>
      <c r="C111" s="24"/>
    </row>
    <row r="112" spans="1:3">
      <c r="A112" s="24"/>
      <c r="B112" s="24"/>
      <c r="C112" s="24"/>
    </row>
    <row r="113" spans="1:3">
      <c r="A113" s="24"/>
      <c r="B113" s="24"/>
      <c r="C113" s="24"/>
    </row>
    <row r="114" spans="1:3">
      <c r="A114" s="24"/>
      <c r="B114" s="24"/>
      <c r="C114" s="24"/>
    </row>
    <row r="115" spans="1:3">
      <c r="A115" s="24"/>
      <c r="B115" s="24"/>
      <c r="C115" s="24"/>
    </row>
    <row r="116" spans="1:3">
      <c r="A116" s="24"/>
      <c r="B116" s="24"/>
      <c r="C116" s="24"/>
    </row>
    <row r="117" spans="1:3">
      <c r="A117" s="24"/>
      <c r="B117" s="24"/>
      <c r="C117" s="24"/>
    </row>
    <row r="118" spans="1:3">
      <c r="A118" s="24"/>
      <c r="B118" s="24"/>
      <c r="C118" s="24"/>
    </row>
    <row r="119" spans="1:3">
      <c r="A119" s="24"/>
      <c r="B119" s="24"/>
      <c r="C119" s="24"/>
    </row>
    <row r="120" spans="1:3">
      <c r="A120" s="24"/>
      <c r="B120" s="24"/>
      <c r="C120" s="24"/>
    </row>
    <row r="121" spans="1:3">
      <c r="A121" s="24"/>
      <c r="B121" s="24"/>
      <c r="C121" s="24"/>
    </row>
    <row r="122" spans="1:3">
      <c r="A122" s="24"/>
      <c r="B122" s="24"/>
      <c r="C122" s="24"/>
    </row>
    <row r="123" spans="1:3">
      <c r="A123" s="24"/>
      <c r="B123" s="24"/>
      <c r="C123" s="24"/>
    </row>
    <row r="124" spans="1:3">
      <c r="A124" s="24"/>
      <c r="B124" s="24"/>
      <c r="C124" s="24"/>
    </row>
    <row r="125" spans="1:3">
      <c r="A125" s="24"/>
      <c r="B125" s="24"/>
      <c r="C125" s="24"/>
    </row>
    <row r="126" spans="1:3">
      <c r="A126" s="24"/>
      <c r="B126" s="24"/>
      <c r="C126" s="24"/>
    </row>
    <row r="127" spans="1:3">
      <c r="A127" s="24"/>
      <c r="B127" s="24"/>
      <c r="C127" s="24"/>
    </row>
    <row r="128" spans="1:3">
      <c r="A128" s="24"/>
      <c r="B128" s="24"/>
      <c r="C128" s="24"/>
    </row>
    <row r="129" spans="1:3">
      <c r="A129" s="24"/>
      <c r="B129" s="24"/>
      <c r="C129" s="24"/>
    </row>
    <row r="130" spans="1:3">
      <c r="A130" s="24"/>
      <c r="B130" s="24"/>
      <c r="C130" s="24"/>
    </row>
    <row r="131" spans="1:3">
      <c r="A131" s="24"/>
      <c r="B131" s="24"/>
      <c r="C131" s="24"/>
    </row>
    <row r="132" spans="1:3">
      <c r="A132" s="24"/>
      <c r="B132" s="24"/>
      <c r="C132" s="24"/>
    </row>
    <row r="133" spans="1:3">
      <c r="A133" s="24"/>
      <c r="B133" s="24"/>
      <c r="C133" s="24"/>
    </row>
    <row r="134" spans="1:3">
      <c r="A134" s="24"/>
      <c r="B134" s="24"/>
      <c r="C134" s="24"/>
    </row>
    <row r="135" spans="1:3">
      <c r="A135" s="24"/>
      <c r="B135" s="24"/>
      <c r="C135" s="24"/>
    </row>
    <row r="136" spans="1:3">
      <c r="A136" s="24"/>
      <c r="B136" s="24"/>
      <c r="C136" s="24"/>
    </row>
    <row r="137" spans="1:3">
      <c r="A137" s="24"/>
      <c r="B137" s="24"/>
      <c r="C137" s="24"/>
    </row>
    <row r="138" spans="1:3">
      <c r="A138" s="24"/>
      <c r="B138" s="24"/>
      <c r="C138" s="24"/>
    </row>
    <row r="139" spans="1:3">
      <c r="A139" s="24"/>
      <c r="B139" s="24"/>
      <c r="C139" s="24"/>
    </row>
    <row r="140" spans="1:3">
      <c r="A140" s="24"/>
      <c r="B140" s="24"/>
      <c r="C140" s="24"/>
    </row>
    <row r="141" spans="1:3">
      <c r="A141" s="24"/>
      <c r="B141" s="24"/>
      <c r="C141" s="24"/>
    </row>
    <row r="142" spans="1:3">
      <c r="A142" s="24"/>
      <c r="B142" s="24"/>
      <c r="C142" s="24"/>
    </row>
    <row r="143" spans="1:3">
      <c r="A143" s="24"/>
      <c r="B143" s="24"/>
      <c r="C143" s="24"/>
    </row>
    <row r="144" spans="1:3">
      <c r="A144" s="24"/>
      <c r="B144" s="24"/>
      <c r="C144" s="24"/>
    </row>
    <row r="145" spans="1:3">
      <c r="A145" s="24"/>
      <c r="B145" s="24"/>
      <c r="C145" s="24"/>
    </row>
    <row r="146" spans="1:3">
      <c r="A146" s="24"/>
      <c r="B146" s="24"/>
      <c r="C146" s="24"/>
    </row>
    <row r="147" spans="1:3">
      <c r="A147" s="24"/>
      <c r="B147" s="24"/>
      <c r="C147" s="24"/>
    </row>
    <row r="148" spans="1:3">
      <c r="A148" s="24"/>
      <c r="B148" s="24"/>
      <c r="C148" s="24"/>
    </row>
    <row r="149" spans="1:3">
      <c r="A149" s="24"/>
      <c r="B149" s="24"/>
      <c r="C149" s="24"/>
    </row>
    <row r="150" spans="1:3">
      <c r="A150" s="24"/>
      <c r="B150" s="24"/>
      <c r="C150" s="24"/>
    </row>
    <row r="151" spans="1:3">
      <c r="A151" s="24"/>
      <c r="B151" s="24"/>
      <c r="C151" s="24"/>
    </row>
    <row r="152" spans="1:3">
      <c r="A152" s="24"/>
      <c r="B152" s="24"/>
      <c r="C152" s="24"/>
    </row>
    <row r="153" spans="1:3">
      <c r="A153" s="24"/>
      <c r="B153" s="24"/>
      <c r="C153" s="24"/>
    </row>
    <row r="154" spans="1:3">
      <c r="A154" s="24"/>
      <c r="B154" s="24"/>
      <c r="C154" s="24"/>
    </row>
    <row r="155" spans="1:3">
      <c r="A155" s="24"/>
      <c r="B155" s="24"/>
      <c r="C155" s="24"/>
    </row>
    <row r="156" spans="1:3">
      <c r="A156" s="24"/>
      <c r="B156" s="24"/>
      <c r="C156" s="24"/>
    </row>
    <row r="157" spans="1:3">
      <c r="A157" s="24"/>
      <c r="B157" s="24"/>
      <c r="C157" s="24"/>
    </row>
    <row r="158" spans="1:3">
      <c r="A158" s="24"/>
      <c r="B158" s="24"/>
      <c r="C158" s="24"/>
    </row>
    <row r="159" spans="1:3">
      <c r="A159" s="24"/>
      <c r="B159" s="24"/>
      <c r="C159" s="24"/>
    </row>
    <row r="160" spans="1:3">
      <c r="A160" s="24"/>
      <c r="B160" s="24"/>
      <c r="C160" s="24"/>
    </row>
    <row r="161" spans="1:3">
      <c r="A161" s="24"/>
      <c r="B161" s="24"/>
      <c r="C161" s="24"/>
    </row>
    <row r="162" spans="1:3">
      <c r="A162" s="24"/>
      <c r="B162" s="24"/>
      <c r="C162" s="24"/>
    </row>
    <row r="163" spans="1:3">
      <c r="A163" s="24"/>
      <c r="B163" s="24"/>
      <c r="C163" s="24"/>
    </row>
    <row r="164" spans="1:3">
      <c r="A164" s="24"/>
      <c r="B164" s="24"/>
      <c r="C164" s="24"/>
    </row>
    <row r="165" spans="1:3">
      <c r="A165" s="24"/>
      <c r="B165" s="24"/>
      <c r="C165" s="24"/>
    </row>
    <row r="166" spans="1:3">
      <c r="A166" s="24"/>
      <c r="B166" s="24"/>
    </row>
    <row r="167" spans="1:3">
      <c r="A167" s="24"/>
      <c r="B167" s="24"/>
    </row>
    <row r="168" spans="1:3">
      <c r="A168" s="24"/>
      <c r="B168" s="24"/>
    </row>
    <row r="169" spans="1:3">
      <c r="A169" s="24"/>
      <c r="B169" s="24"/>
    </row>
    <row r="170" spans="1:3">
      <c r="A170" s="24"/>
      <c r="B170" s="24"/>
    </row>
    <row r="171" spans="1:3">
      <c r="A171" s="24"/>
      <c r="B171" s="24"/>
    </row>
    <row r="172" spans="1:3">
      <c r="A172" s="24"/>
      <c r="B172" s="24"/>
    </row>
    <row r="173" spans="1:3">
      <c r="A173" s="24"/>
      <c r="B173" s="24"/>
    </row>
    <row r="174" spans="1:3">
      <c r="A174" s="24"/>
      <c r="B174" s="24"/>
    </row>
    <row r="175" spans="1:3">
      <c r="A175" s="24"/>
      <c r="B175" s="24"/>
    </row>
    <row r="176" spans="1:3">
      <c r="A176" s="24"/>
      <c r="B176" s="24"/>
    </row>
    <row r="177" spans="1:2">
      <c r="A177" s="24"/>
      <c r="B177" s="24"/>
    </row>
    <row r="178" spans="1:2">
      <c r="A178" s="24"/>
      <c r="B178" s="24"/>
    </row>
    <row r="179" spans="1:2">
      <c r="A179" s="24"/>
      <c r="B179" s="24"/>
    </row>
    <row r="180" spans="1:2">
      <c r="A180" s="24"/>
      <c r="B180" s="24"/>
    </row>
    <row r="181" spans="1:2">
      <c r="A181" s="24"/>
      <c r="B181" s="24"/>
    </row>
    <row r="182" spans="1:2">
      <c r="A182" s="24"/>
      <c r="B182" s="24"/>
    </row>
    <row r="183" spans="1:2">
      <c r="A183" s="24"/>
      <c r="B183" s="24"/>
    </row>
    <row r="184" spans="1:2">
      <c r="A184" s="24"/>
      <c r="B184" s="24"/>
    </row>
    <row r="185" spans="1:2">
      <c r="A185" s="24"/>
      <c r="B185" s="24"/>
    </row>
    <row r="186" spans="1:2">
      <c r="A186" s="24"/>
      <c r="B186" s="24"/>
    </row>
    <row r="187" spans="1:2">
      <c r="A187" s="24"/>
      <c r="B187" s="24"/>
    </row>
    <row r="188" spans="1:2">
      <c r="A188" s="24"/>
      <c r="B188" s="24"/>
    </row>
    <row r="189" spans="1:2">
      <c r="A189" s="24"/>
      <c r="B189" s="24"/>
    </row>
    <row r="190" spans="1:2">
      <c r="A190" s="24"/>
      <c r="B190" s="24"/>
    </row>
  </sheetData>
  <mergeCells count="8">
    <mergeCell ref="F5:H5"/>
    <mergeCell ref="F17:H17"/>
    <mergeCell ref="R11:R12"/>
    <mergeCell ref="R23:R24"/>
    <mergeCell ref="R19:R20"/>
    <mergeCell ref="R21:R22"/>
    <mergeCell ref="R7:R8"/>
    <mergeCell ref="R9:R10"/>
  </mergeCells>
  <phoneticPr fontId="1" type="noConversion"/>
  <conditionalFormatting sqref="B17:B40">
    <cfRule type="top10" dxfId="81" priority="3" bottom="1" rank="1"/>
    <cfRule type="top10" dxfId="80" priority="4" rank="1"/>
  </conditionalFormatting>
  <pageMargins left="0.7" right="0.7" top="0.75" bottom="0.75" header="0.3" footer="0.3"/>
  <pageSetup paperSize="9" orientation="portrait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FF"/>
  </sheetPr>
  <dimension ref="A1:V201"/>
  <sheetViews>
    <sheetView workbookViewId="0">
      <pane ySplit="6" topLeftCell="A119" activePane="bottomLeft" state="frozenSplit"/>
      <selection activeCell="B1" sqref="B1"/>
      <selection pane="bottomLeft" activeCell="C6" sqref="C6:C138"/>
    </sheetView>
  </sheetViews>
  <sheetFormatPr defaultRowHeight="15.75"/>
  <cols>
    <col min="1" max="2" width="7.140625" style="31" customWidth="1"/>
    <col min="3" max="3" width="11" style="1" customWidth="1"/>
    <col min="4" max="6" width="10.28515625" style="1" customWidth="1"/>
    <col min="7" max="7" width="12.42578125" style="1" customWidth="1"/>
    <col min="8" max="8" width="14.140625" style="5" customWidth="1"/>
    <col min="9" max="9" width="12.85546875" style="5" customWidth="1"/>
    <col min="10" max="10" width="17.5703125" style="1" customWidth="1"/>
    <col min="11" max="13" width="0.140625" style="1" customWidth="1"/>
    <col min="14" max="14" width="12.28515625" style="25" customWidth="1"/>
    <col min="15" max="15" width="10.85546875" style="2" customWidth="1"/>
    <col min="16" max="16" width="12" style="2" customWidth="1"/>
    <col min="17" max="16384" width="9.140625" style="2"/>
  </cols>
  <sheetData>
    <row r="1" spans="1:21" ht="28.5" customHeight="1">
      <c r="C1" s="144" t="s">
        <v>62</v>
      </c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</row>
    <row r="2" spans="1:21" ht="31.5">
      <c r="A2" s="142" t="s">
        <v>41</v>
      </c>
      <c r="B2" s="142"/>
      <c r="C2" s="83" t="s">
        <v>19</v>
      </c>
      <c r="D2" s="84" t="s">
        <v>25</v>
      </c>
      <c r="E2" s="85" t="s">
        <v>66</v>
      </c>
      <c r="F2" s="86" t="s">
        <v>23</v>
      </c>
      <c r="G2" s="85"/>
      <c r="H2" s="87" t="s">
        <v>67</v>
      </c>
      <c r="I2" s="85" t="s">
        <v>68</v>
      </c>
      <c r="J2" s="88" t="s">
        <v>22</v>
      </c>
      <c r="K2" s="88"/>
      <c r="L2" s="88"/>
      <c r="M2" s="88"/>
      <c r="N2" s="89" t="s">
        <v>69</v>
      </c>
      <c r="O2" s="90" t="s">
        <v>26</v>
      </c>
      <c r="P2" s="91" t="s">
        <v>42</v>
      </c>
      <c r="Q2" s="92"/>
      <c r="R2" s="92"/>
      <c r="S2" s="92"/>
    </row>
    <row r="3" spans="1:21">
      <c r="A3" s="143">
        <f>17.5/19.35</f>
        <v>0.90439276485788112</v>
      </c>
      <c r="B3" s="143"/>
      <c r="C3" s="93">
        <f>MAX($I4:$I202)</f>
        <v>50.383998042221791</v>
      </c>
      <c r="D3" s="93">
        <f>MIN($I4:$I202)</f>
        <v>35.466382935603185</v>
      </c>
      <c r="E3" s="93">
        <f>SUM($E7:$E201)</f>
        <v>107.25999999999999</v>
      </c>
      <c r="F3" s="94">
        <f>AVERAGEIF(汽車vs機車!R7:R10,"&gt;0")</f>
        <v>285.5263157894737</v>
      </c>
      <c r="G3" s="93"/>
      <c r="H3" s="95">
        <f>SUM(H8:H201)</f>
        <v>4209.9483204134349</v>
      </c>
      <c r="I3" s="96">
        <f>ROUND(($H3/$E3),2)</f>
        <v>39.25</v>
      </c>
      <c r="J3" s="93">
        <f>(LARGE($I8:$I202,1)+LARGE($I8:$I202,2)+LARGE($I8:$I202,3)+LARGE($I8:$I202,4)+LARGE($I8:$I202,5)+LARGE($I8:$I202,6)+LARGE($I8:$I202,7)+LARGE($I8:$I202,8)+LARGE($I8:$I202,9)+LARGE($I8:$I202,10))/10</f>
        <v>45.856342987913138</v>
      </c>
      <c r="K3" s="93"/>
      <c r="L3" s="93"/>
      <c r="M3" s="93"/>
      <c r="N3" s="97">
        <f>AVERAGEIF(N8:N201,"&gt;0")</f>
        <v>1.3378260869565217</v>
      </c>
      <c r="O3" s="93">
        <f>(SMALL($I8:$I202,1)+SMALL($I8:$I202,2)+SMALL($I8:$I202,3)+SMALL($I8:$I202,4)+SMALL($I8:$I202,5)+SMALL($I8:$I202,6)+SMALL($I8:$I202,7)+SMALL($I8:$I202,8)+SMALL($I8:$I202,9)+SMALL($I8:$I202,10))/10</f>
        <v>37.89942321561611</v>
      </c>
      <c r="P3" s="93">
        <f>AVERAGE(I7:I1000)</f>
        <v>41.946818364596908</v>
      </c>
      <c r="Q3" s="92"/>
      <c r="R3" s="92"/>
      <c r="S3" s="92"/>
    </row>
    <row r="4" spans="1:21" ht="5.25" customHeight="1" thickBot="1">
      <c r="A4" s="98"/>
      <c r="B4" s="98"/>
      <c r="C4" s="99"/>
      <c r="D4" s="99"/>
      <c r="E4" s="99"/>
      <c r="F4" s="99"/>
      <c r="G4" s="99"/>
      <c r="H4" s="100"/>
      <c r="I4" s="100"/>
      <c r="J4" s="99"/>
      <c r="K4" s="99"/>
      <c r="L4" s="99"/>
      <c r="M4" s="99"/>
      <c r="N4" s="101"/>
      <c r="O4" s="102"/>
      <c r="P4" s="102"/>
      <c r="Q4" s="102"/>
      <c r="R4" s="102"/>
      <c r="S4" s="102"/>
    </row>
    <row r="5" spans="1:21">
      <c r="A5" s="123">
        <v>95</v>
      </c>
      <c r="B5" s="123">
        <v>95</v>
      </c>
      <c r="C5" s="149" t="s">
        <v>63</v>
      </c>
      <c r="D5" s="149"/>
      <c r="E5" s="149"/>
      <c r="F5" s="149"/>
      <c r="G5" s="149"/>
      <c r="H5" s="149"/>
      <c r="I5" s="149"/>
      <c r="J5" s="149"/>
      <c r="K5" s="103"/>
      <c r="L5" s="103"/>
      <c r="M5" s="103"/>
      <c r="N5" s="104"/>
      <c r="O5" s="105"/>
      <c r="P5" s="105"/>
      <c r="Q5" s="105"/>
      <c r="R5" s="105"/>
      <c r="S5" s="106"/>
    </row>
    <row r="6" spans="1:21" ht="31.5">
      <c r="A6" s="107" t="s">
        <v>53</v>
      </c>
      <c r="B6" s="108" t="s">
        <v>54</v>
      </c>
      <c r="C6" s="122" t="s">
        <v>16</v>
      </c>
      <c r="D6" s="109" t="s">
        <v>8</v>
      </c>
      <c r="E6" s="109" t="s">
        <v>7</v>
      </c>
      <c r="F6" s="110" t="s">
        <v>18</v>
      </c>
      <c r="G6" s="129" t="s">
        <v>20</v>
      </c>
      <c r="H6" s="112" t="s">
        <v>21</v>
      </c>
      <c r="I6" s="112" t="s">
        <v>9</v>
      </c>
      <c r="J6" s="111" t="s">
        <v>24</v>
      </c>
      <c r="K6" s="111"/>
      <c r="L6" s="111"/>
      <c r="M6" s="111"/>
      <c r="N6" s="113"/>
      <c r="O6" s="145" t="s">
        <v>45</v>
      </c>
      <c r="P6" s="145"/>
      <c r="Q6" s="145"/>
      <c r="R6" s="145"/>
      <c r="S6" s="146"/>
      <c r="T6" s="8"/>
      <c r="U6" s="8"/>
    </row>
    <row r="7" spans="1:21">
      <c r="A7" s="58">
        <v>30.5</v>
      </c>
      <c r="B7" s="58">
        <v>2.1</v>
      </c>
      <c r="C7" s="130">
        <v>40179</v>
      </c>
      <c r="D7" s="34">
        <v>5</v>
      </c>
      <c r="E7" s="35">
        <v>6</v>
      </c>
      <c r="F7" s="36">
        <f t="shared" ref="F7:F71" si="0">ROUND(E7*A7,0)</f>
        <v>183</v>
      </c>
      <c r="G7" s="37">
        <f>ROUND(E7*A7,0)-ROUND(E7*B7,0)</f>
        <v>170</v>
      </c>
      <c r="H7" s="114"/>
      <c r="I7" s="114"/>
      <c r="J7" s="40">
        <f xml:space="preserve"> 105/475*50</f>
        <v>11.052631578947368</v>
      </c>
      <c r="K7" s="33">
        <f>$J$3</f>
        <v>45.856342987913138</v>
      </c>
      <c r="L7" s="33">
        <f>$O$3</f>
        <v>37.89942321561611</v>
      </c>
      <c r="M7" s="33">
        <f>$P$3</f>
        <v>41.946818364596908</v>
      </c>
      <c r="N7" s="118"/>
      <c r="O7" s="147" t="s">
        <v>57</v>
      </c>
      <c r="P7" s="147"/>
      <c r="Q7" s="147"/>
      <c r="R7" s="147"/>
      <c r="S7" s="148"/>
      <c r="T7" s="8"/>
      <c r="U7" s="8"/>
    </row>
    <row r="8" spans="1:21">
      <c r="A8" s="58">
        <v>30.3</v>
      </c>
      <c r="B8" s="58">
        <v>2.5</v>
      </c>
      <c r="C8" s="130">
        <v>40599</v>
      </c>
      <c r="D8" s="34">
        <v>218</v>
      </c>
      <c r="E8" s="39">
        <v>5.05</v>
      </c>
      <c r="F8" s="36">
        <f t="shared" si="0"/>
        <v>153</v>
      </c>
      <c r="G8" s="37">
        <f>ROUND(E8*A8,0)-ROUND(E8*B8,0)</f>
        <v>140</v>
      </c>
      <c r="H8" s="114">
        <f t="shared" ref="H8:H39" si="1">IF($D8=0,"0",(D8-D7)*$A$3)</f>
        <v>192.63565891472868</v>
      </c>
      <c r="I8" s="114">
        <f t="shared" ref="I8:I29" si="2">IF($D8=0,"0",(H8/E8))</f>
        <v>38.145675032619543</v>
      </c>
      <c r="J8" s="40">
        <v>250</v>
      </c>
      <c r="K8" s="33">
        <f>$J$3</f>
        <v>45.856342987913138</v>
      </c>
      <c r="L8" s="33">
        <f t="shared" ref="L8:L71" si="3">$O$3</f>
        <v>37.89942321561611</v>
      </c>
      <c r="M8" s="33">
        <f t="shared" ref="M8:M71" si="4">$P$3</f>
        <v>41.946818364596908</v>
      </c>
      <c r="N8" s="118">
        <f t="shared" ref="N8:N34" si="5">IF($D8=0,"0",ROUNDUP(((G8/H8)+SUM($J$8:$J$201)/SUM($H$8:$H$201)),2))</f>
        <v>1.34</v>
      </c>
      <c r="O8" s="147"/>
      <c r="P8" s="147"/>
      <c r="Q8" s="147"/>
      <c r="R8" s="147"/>
      <c r="S8" s="148"/>
      <c r="T8" s="8"/>
      <c r="U8" s="8"/>
    </row>
    <row r="9" spans="1:21">
      <c r="A9" s="58">
        <v>29.8</v>
      </c>
      <c r="B9" s="58">
        <v>0</v>
      </c>
      <c r="C9" s="130">
        <v>40983</v>
      </c>
      <c r="D9" s="34">
        <v>410</v>
      </c>
      <c r="E9" s="39">
        <v>4.4000000000000004</v>
      </c>
      <c r="F9" s="36">
        <f t="shared" si="0"/>
        <v>131</v>
      </c>
      <c r="G9" s="37">
        <f t="shared" ref="G9:G71" si="6">ROUND(E9*A9,0)-ROUND(E9*B9,0)</f>
        <v>131</v>
      </c>
      <c r="H9" s="114">
        <f t="shared" si="1"/>
        <v>173.64341085271317</v>
      </c>
      <c r="I9" s="114">
        <f t="shared" si="2"/>
        <v>39.464411557434808</v>
      </c>
      <c r="J9" s="40">
        <f>250+50</f>
        <v>300</v>
      </c>
      <c r="K9" s="33">
        <f t="shared" ref="K9:K72" si="7">$J$3</f>
        <v>45.856342987913138</v>
      </c>
      <c r="L9" s="33">
        <f t="shared" si="3"/>
        <v>37.89942321561611</v>
      </c>
      <c r="M9" s="33">
        <f t="shared" si="4"/>
        <v>41.946818364596908</v>
      </c>
      <c r="N9" s="118">
        <f t="shared" si="5"/>
        <v>1.37</v>
      </c>
      <c r="O9" s="147" t="s">
        <v>56</v>
      </c>
      <c r="P9" s="147"/>
      <c r="Q9" s="147"/>
      <c r="R9" s="147"/>
      <c r="S9" s="148"/>
      <c r="T9" s="8"/>
      <c r="U9" s="8"/>
    </row>
    <row r="10" spans="1:21">
      <c r="A10" s="58">
        <v>30.5</v>
      </c>
      <c r="B10" s="58">
        <v>2</v>
      </c>
      <c r="C10" s="130">
        <f t="shared" ref="C10:C72" si="8">C9+7</f>
        <v>40990</v>
      </c>
      <c r="D10" s="34">
        <v>610</v>
      </c>
      <c r="E10" s="39">
        <v>5</v>
      </c>
      <c r="F10" s="36">
        <f t="shared" si="0"/>
        <v>153</v>
      </c>
      <c r="G10" s="37">
        <f t="shared" si="6"/>
        <v>143</v>
      </c>
      <c r="H10" s="114">
        <f t="shared" si="1"/>
        <v>180.87855297157623</v>
      </c>
      <c r="I10" s="114">
        <f t="shared" si="2"/>
        <v>36.175710594315248</v>
      </c>
      <c r="J10" s="40"/>
      <c r="K10" s="33">
        <f t="shared" si="7"/>
        <v>45.856342987913138</v>
      </c>
      <c r="L10" s="33">
        <f t="shared" si="3"/>
        <v>37.89942321561611</v>
      </c>
      <c r="M10" s="33">
        <f t="shared" si="4"/>
        <v>41.946818364596908</v>
      </c>
      <c r="N10" s="118">
        <f t="shared" si="5"/>
        <v>1.41</v>
      </c>
      <c r="O10" s="147"/>
      <c r="P10" s="147"/>
      <c r="Q10" s="147"/>
      <c r="R10" s="147"/>
      <c r="S10" s="148"/>
      <c r="T10" s="8"/>
      <c r="U10" s="8"/>
    </row>
    <row r="11" spans="1:21">
      <c r="A11" s="58">
        <v>30.7</v>
      </c>
      <c r="B11" s="58">
        <v>0</v>
      </c>
      <c r="C11" s="130">
        <f t="shared" si="8"/>
        <v>40997</v>
      </c>
      <c r="D11" s="34">
        <v>810</v>
      </c>
      <c r="E11" s="41">
        <v>4.1100000000000003</v>
      </c>
      <c r="F11" s="36">
        <f t="shared" si="0"/>
        <v>126</v>
      </c>
      <c r="G11" s="37">
        <f t="shared" si="6"/>
        <v>126</v>
      </c>
      <c r="H11" s="115">
        <f t="shared" si="1"/>
        <v>180.87855297157623</v>
      </c>
      <c r="I11" s="114">
        <f t="shared" si="2"/>
        <v>44.009380285055038</v>
      </c>
      <c r="J11" s="40"/>
      <c r="K11" s="33">
        <f t="shared" si="7"/>
        <v>45.856342987913138</v>
      </c>
      <c r="L11" s="33">
        <f t="shared" si="3"/>
        <v>37.89942321561611</v>
      </c>
      <c r="M11" s="33">
        <f t="shared" si="4"/>
        <v>41.946818364596908</v>
      </c>
      <c r="N11" s="119">
        <f t="shared" si="5"/>
        <v>1.31</v>
      </c>
      <c r="O11" s="147"/>
      <c r="P11" s="147"/>
      <c r="Q11" s="147"/>
      <c r="R11" s="147"/>
      <c r="S11" s="148"/>
      <c r="T11" s="8"/>
      <c r="U11" s="8"/>
    </row>
    <row r="12" spans="1:21">
      <c r="A12" s="58">
        <v>30.3</v>
      </c>
      <c r="B12" s="58">
        <v>2</v>
      </c>
      <c r="C12" s="130">
        <f t="shared" si="8"/>
        <v>41004</v>
      </c>
      <c r="D12" s="34">
        <v>1000</v>
      </c>
      <c r="E12" s="39">
        <v>4.1500000000000004</v>
      </c>
      <c r="F12" s="36">
        <f t="shared" si="0"/>
        <v>126</v>
      </c>
      <c r="G12" s="37">
        <f t="shared" si="6"/>
        <v>118</v>
      </c>
      <c r="H12" s="114">
        <f t="shared" si="1"/>
        <v>171.83462532299743</v>
      </c>
      <c r="I12" s="114">
        <f t="shared" si="2"/>
        <v>41.405933812770463</v>
      </c>
      <c r="J12" s="40">
        <f>500+66</f>
        <v>566</v>
      </c>
      <c r="K12" s="33">
        <f t="shared" si="7"/>
        <v>45.856342987913138</v>
      </c>
      <c r="L12" s="33">
        <f t="shared" si="3"/>
        <v>37.89942321561611</v>
      </c>
      <c r="M12" s="33">
        <f t="shared" si="4"/>
        <v>41.946818364596908</v>
      </c>
      <c r="N12" s="118">
        <f t="shared" si="5"/>
        <v>1.3</v>
      </c>
      <c r="O12" s="147"/>
      <c r="P12" s="147"/>
      <c r="Q12" s="147"/>
      <c r="R12" s="147"/>
      <c r="S12" s="148"/>
      <c r="T12" s="8"/>
      <c r="U12" s="8"/>
    </row>
    <row r="13" spans="1:21">
      <c r="A13" s="58">
        <v>30.9</v>
      </c>
      <c r="B13" s="58">
        <v>2.1</v>
      </c>
      <c r="C13" s="130">
        <f t="shared" si="8"/>
        <v>41011</v>
      </c>
      <c r="D13" s="34">
        <v>1210</v>
      </c>
      <c r="E13" s="39">
        <v>5.0999999999999996</v>
      </c>
      <c r="F13" s="36">
        <f t="shared" si="0"/>
        <v>158</v>
      </c>
      <c r="G13" s="37">
        <f t="shared" si="6"/>
        <v>147</v>
      </c>
      <c r="H13" s="114">
        <f t="shared" si="1"/>
        <v>189.92248062015503</v>
      </c>
      <c r="I13" s="114">
        <f t="shared" si="2"/>
        <v>37.239702082383339</v>
      </c>
      <c r="J13" s="40"/>
      <c r="K13" s="33">
        <f t="shared" si="7"/>
        <v>45.856342987913138</v>
      </c>
      <c r="L13" s="33">
        <f t="shared" si="3"/>
        <v>37.89942321561611</v>
      </c>
      <c r="M13" s="33">
        <f t="shared" si="4"/>
        <v>41.946818364596908</v>
      </c>
      <c r="N13" s="118">
        <f t="shared" si="5"/>
        <v>1.39</v>
      </c>
      <c r="O13" s="147"/>
      <c r="P13" s="147"/>
      <c r="Q13" s="147"/>
      <c r="R13" s="147"/>
      <c r="S13" s="148"/>
      <c r="T13" s="8"/>
      <c r="U13" s="8"/>
    </row>
    <row r="14" spans="1:21">
      <c r="A14" s="58">
        <v>31.1</v>
      </c>
      <c r="B14" s="58">
        <v>2.5</v>
      </c>
      <c r="C14" s="130">
        <f t="shared" si="8"/>
        <v>41018</v>
      </c>
      <c r="D14" s="34">
        <v>1440</v>
      </c>
      <c r="E14" s="39">
        <v>4.45</v>
      </c>
      <c r="F14" s="36">
        <f t="shared" si="0"/>
        <v>138</v>
      </c>
      <c r="G14" s="37">
        <f t="shared" si="6"/>
        <v>127</v>
      </c>
      <c r="H14" s="114">
        <f t="shared" si="1"/>
        <v>208.01033591731266</v>
      </c>
      <c r="I14" s="114">
        <f t="shared" si="2"/>
        <v>46.743895711755648</v>
      </c>
      <c r="J14" s="40"/>
      <c r="K14" s="33">
        <f t="shared" si="7"/>
        <v>45.856342987913138</v>
      </c>
      <c r="L14" s="33">
        <f t="shared" si="3"/>
        <v>37.89942321561611</v>
      </c>
      <c r="M14" s="33">
        <f t="shared" si="4"/>
        <v>41.946818364596908</v>
      </c>
      <c r="N14" s="118">
        <f t="shared" si="5"/>
        <v>1.23</v>
      </c>
      <c r="O14" s="147"/>
      <c r="P14" s="147"/>
      <c r="Q14" s="147"/>
      <c r="R14" s="147"/>
      <c r="S14" s="148"/>
      <c r="T14" s="8"/>
      <c r="U14" s="8"/>
    </row>
    <row r="15" spans="1:21">
      <c r="A15" s="58">
        <v>30.7</v>
      </c>
      <c r="B15" s="58">
        <v>0</v>
      </c>
      <c r="C15" s="130">
        <f t="shared" si="8"/>
        <v>41025</v>
      </c>
      <c r="D15" s="34">
        <v>1660</v>
      </c>
      <c r="E15" s="39">
        <v>4.5999999999999996</v>
      </c>
      <c r="F15" s="36">
        <f t="shared" si="0"/>
        <v>141</v>
      </c>
      <c r="G15" s="37">
        <f t="shared" si="6"/>
        <v>141</v>
      </c>
      <c r="H15" s="114">
        <f t="shared" si="1"/>
        <v>198.96640826873386</v>
      </c>
      <c r="I15" s="114">
        <f t="shared" si="2"/>
        <v>43.253567014942149</v>
      </c>
      <c r="J15" s="40"/>
      <c r="K15" s="33">
        <f t="shared" si="7"/>
        <v>45.856342987913138</v>
      </c>
      <c r="L15" s="33">
        <f t="shared" si="3"/>
        <v>37.89942321561611</v>
      </c>
      <c r="M15" s="33">
        <f t="shared" si="4"/>
        <v>41.946818364596908</v>
      </c>
      <c r="N15" s="118">
        <f t="shared" si="5"/>
        <v>1.33</v>
      </c>
      <c r="O15" s="147"/>
      <c r="P15" s="147"/>
      <c r="Q15" s="147"/>
      <c r="R15" s="147"/>
      <c r="S15" s="148"/>
      <c r="T15" s="8"/>
      <c r="U15" s="8"/>
    </row>
    <row r="16" spans="1:21">
      <c r="A16" s="58">
        <v>30.5</v>
      </c>
      <c r="B16" s="58">
        <v>2</v>
      </c>
      <c r="C16" s="130">
        <f t="shared" si="8"/>
        <v>41032</v>
      </c>
      <c r="D16" s="34">
        <v>1860</v>
      </c>
      <c r="E16" s="39">
        <v>4.55</v>
      </c>
      <c r="F16" s="36">
        <f t="shared" si="0"/>
        <v>139</v>
      </c>
      <c r="G16" s="37">
        <f t="shared" si="6"/>
        <v>130</v>
      </c>
      <c r="H16" s="114">
        <f t="shared" si="1"/>
        <v>180.87855297157623</v>
      </c>
      <c r="I16" s="114">
        <f t="shared" si="2"/>
        <v>39.753528125621152</v>
      </c>
      <c r="J16" s="40">
        <f>1450+105/475*60</f>
        <v>1463.2631578947369</v>
      </c>
      <c r="K16" s="33">
        <f t="shared" si="7"/>
        <v>45.856342987913138</v>
      </c>
      <c r="L16" s="33">
        <f t="shared" si="3"/>
        <v>37.89942321561611</v>
      </c>
      <c r="M16" s="33">
        <f t="shared" si="4"/>
        <v>41.946818364596908</v>
      </c>
      <c r="N16" s="118">
        <f t="shared" si="5"/>
        <v>1.34</v>
      </c>
      <c r="O16" s="147" t="s">
        <v>60</v>
      </c>
      <c r="P16" s="147"/>
      <c r="Q16" s="147"/>
      <c r="R16" s="147"/>
      <c r="S16" s="148"/>
      <c r="T16" s="8"/>
      <c r="U16" s="8"/>
    </row>
    <row r="17" spans="1:21">
      <c r="A17" s="58">
        <v>30.5</v>
      </c>
      <c r="B17" s="58"/>
      <c r="C17" s="130">
        <f t="shared" si="8"/>
        <v>41039</v>
      </c>
      <c r="D17" s="34">
        <f>D16+200</f>
        <v>2060</v>
      </c>
      <c r="E17" s="39">
        <v>4.0999999999999996</v>
      </c>
      <c r="F17" s="36">
        <f t="shared" si="0"/>
        <v>125</v>
      </c>
      <c r="G17" s="37">
        <f t="shared" si="6"/>
        <v>125</v>
      </c>
      <c r="H17" s="114">
        <f t="shared" si="1"/>
        <v>180.87855297157623</v>
      </c>
      <c r="I17" s="114">
        <f t="shared" si="2"/>
        <v>44.116720236969812</v>
      </c>
      <c r="J17" s="40"/>
      <c r="K17" s="33">
        <f t="shared" si="7"/>
        <v>45.856342987913138</v>
      </c>
      <c r="L17" s="33">
        <f t="shared" si="3"/>
        <v>37.89942321561611</v>
      </c>
      <c r="M17" s="33">
        <f t="shared" si="4"/>
        <v>41.946818364596908</v>
      </c>
      <c r="N17" s="118">
        <f t="shared" si="5"/>
        <v>1.31</v>
      </c>
      <c r="O17" s="147"/>
      <c r="P17" s="147"/>
      <c r="Q17" s="147"/>
      <c r="R17" s="147"/>
      <c r="S17" s="148"/>
      <c r="T17" s="8"/>
      <c r="U17" s="8"/>
    </row>
    <row r="18" spans="1:21">
      <c r="A18" s="58">
        <v>30.5</v>
      </c>
      <c r="B18" s="58"/>
      <c r="C18" s="130">
        <f t="shared" si="8"/>
        <v>41046</v>
      </c>
      <c r="D18" s="34">
        <f t="shared" ref="D18:D30" si="9">D17+200</f>
        <v>2260</v>
      </c>
      <c r="E18" s="39">
        <v>3.9</v>
      </c>
      <c r="F18" s="36">
        <f t="shared" si="0"/>
        <v>119</v>
      </c>
      <c r="G18" s="37">
        <f t="shared" si="6"/>
        <v>119</v>
      </c>
      <c r="H18" s="114">
        <f t="shared" si="1"/>
        <v>180.87855297157623</v>
      </c>
      <c r="I18" s="114">
        <f t="shared" si="2"/>
        <v>46.379116146558005</v>
      </c>
      <c r="J18" s="40"/>
      <c r="K18" s="33">
        <f t="shared" si="7"/>
        <v>45.856342987913138</v>
      </c>
      <c r="L18" s="33">
        <f t="shared" si="3"/>
        <v>37.89942321561611</v>
      </c>
      <c r="M18" s="33">
        <f t="shared" si="4"/>
        <v>41.946818364596908</v>
      </c>
      <c r="N18" s="118">
        <f t="shared" si="5"/>
        <v>1.28</v>
      </c>
      <c r="O18" s="147"/>
      <c r="P18" s="147"/>
      <c r="Q18" s="147"/>
      <c r="R18" s="147"/>
      <c r="S18" s="148"/>
      <c r="T18" s="8"/>
      <c r="U18" s="8"/>
    </row>
    <row r="19" spans="1:21">
      <c r="A19" s="58">
        <v>30.5</v>
      </c>
      <c r="B19" s="58"/>
      <c r="C19" s="130">
        <f t="shared" si="8"/>
        <v>41053</v>
      </c>
      <c r="D19" s="34">
        <f t="shared" si="9"/>
        <v>2460</v>
      </c>
      <c r="E19" s="39">
        <v>4.25</v>
      </c>
      <c r="F19" s="36">
        <f t="shared" si="0"/>
        <v>130</v>
      </c>
      <c r="G19" s="37">
        <f t="shared" si="6"/>
        <v>130</v>
      </c>
      <c r="H19" s="114">
        <f t="shared" si="1"/>
        <v>180.87855297157623</v>
      </c>
      <c r="I19" s="114">
        <f t="shared" si="2"/>
        <v>42.55965952272382</v>
      </c>
      <c r="J19" s="40"/>
      <c r="K19" s="33">
        <f t="shared" si="7"/>
        <v>45.856342987913138</v>
      </c>
      <c r="L19" s="33">
        <f t="shared" si="3"/>
        <v>37.89942321561611</v>
      </c>
      <c r="M19" s="33">
        <f t="shared" si="4"/>
        <v>41.946818364596908</v>
      </c>
      <c r="N19" s="118">
        <f t="shared" si="5"/>
        <v>1.34</v>
      </c>
      <c r="O19" s="147"/>
      <c r="P19" s="147"/>
      <c r="Q19" s="147"/>
      <c r="R19" s="147"/>
      <c r="S19" s="148"/>
      <c r="T19" s="8"/>
      <c r="U19" s="8"/>
    </row>
    <row r="20" spans="1:21">
      <c r="A20" s="58">
        <v>30.5</v>
      </c>
      <c r="B20" s="58"/>
      <c r="C20" s="130">
        <f t="shared" si="8"/>
        <v>41060</v>
      </c>
      <c r="D20" s="34">
        <f t="shared" si="9"/>
        <v>2660</v>
      </c>
      <c r="E20" s="39">
        <v>4.88</v>
      </c>
      <c r="F20" s="36">
        <f t="shared" si="0"/>
        <v>149</v>
      </c>
      <c r="G20" s="37">
        <f t="shared" si="6"/>
        <v>149</v>
      </c>
      <c r="H20" s="114">
        <f t="shared" si="1"/>
        <v>180.87855297157623</v>
      </c>
      <c r="I20" s="114">
        <f t="shared" si="2"/>
        <v>37.065277248273816</v>
      </c>
      <c r="J20" s="40"/>
      <c r="K20" s="33">
        <f t="shared" si="7"/>
        <v>45.856342987913138</v>
      </c>
      <c r="L20" s="33">
        <f t="shared" si="3"/>
        <v>37.89942321561611</v>
      </c>
      <c r="M20" s="33">
        <f t="shared" si="4"/>
        <v>41.946818364596908</v>
      </c>
      <c r="N20" s="118">
        <f t="shared" si="5"/>
        <v>1.44</v>
      </c>
      <c r="O20" s="147"/>
      <c r="P20" s="147"/>
      <c r="Q20" s="147"/>
      <c r="R20" s="147"/>
      <c r="S20" s="148"/>
      <c r="T20" s="8"/>
      <c r="U20" s="8"/>
    </row>
    <row r="21" spans="1:21">
      <c r="A21" s="58">
        <v>30.5</v>
      </c>
      <c r="B21" s="58"/>
      <c r="C21" s="130">
        <f t="shared" si="8"/>
        <v>41067</v>
      </c>
      <c r="D21" s="34">
        <f t="shared" si="9"/>
        <v>2860</v>
      </c>
      <c r="E21" s="39">
        <v>4.7</v>
      </c>
      <c r="F21" s="36">
        <f t="shared" si="0"/>
        <v>143</v>
      </c>
      <c r="G21" s="37">
        <f t="shared" si="6"/>
        <v>143</v>
      </c>
      <c r="H21" s="114">
        <f t="shared" si="1"/>
        <v>180.87855297157623</v>
      </c>
      <c r="I21" s="114">
        <f t="shared" si="2"/>
        <v>38.484798504590685</v>
      </c>
      <c r="J21" s="40"/>
      <c r="K21" s="33">
        <f t="shared" si="7"/>
        <v>45.856342987913138</v>
      </c>
      <c r="L21" s="33">
        <f t="shared" si="3"/>
        <v>37.89942321561611</v>
      </c>
      <c r="M21" s="33">
        <f t="shared" si="4"/>
        <v>41.946818364596908</v>
      </c>
      <c r="N21" s="118">
        <f t="shared" si="5"/>
        <v>1.41</v>
      </c>
      <c r="O21" s="147"/>
      <c r="P21" s="147"/>
      <c r="Q21" s="147"/>
      <c r="R21" s="147"/>
      <c r="S21" s="148"/>
      <c r="T21" s="8"/>
      <c r="U21" s="8"/>
    </row>
    <row r="22" spans="1:21">
      <c r="A22" s="58">
        <v>30.5</v>
      </c>
      <c r="B22" s="58"/>
      <c r="C22" s="130">
        <f t="shared" si="8"/>
        <v>41074</v>
      </c>
      <c r="D22" s="34">
        <f t="shared" si="9"/>
        <v>3060</v>
      </c>
      <c r="E22" s="39">
        <v>4.05</v>
      </c>
      <c r="F22" s="36">
        <f t="shared" si="0"/>
        <v>124</v>
      </c>
      <c r="G22" s="37">
        <f t="shared" si="6"/>
        <v>124</v>
      </c>
      <c r="H22" s="114">
        <f t="shared" si="1"/>
        <v>180.87855297157623</v>
      </c>
      <c r="I22" s="114">
        <f t="shared" si="2"/>
        <v>44.6613711040929</v>
      </c>
      <c r="J22" s="40"/>
      <c r="K22" s="33">
        <f t="shared" si="7"/>
        <v>45.856342987913138</v>
      </c>
      <c r="L22" s="33">
        <f t="shared" si="3"/>
        <v>37.89942321561611</v>
      </c>
      <c r="M22" s="33">
        <f t="shared" si="4"/>
        <v>41.946818364596908</v>
      </c>
      <c r="N22" s="118">
        <f t="shared" si="5"/>
        <v>1.3</v>
      </c>
      <c r="O22" s="147"/>
      <c r="P22" s="147"/>
      <c r="Q22" s="147"/>
      <c r="R22" s="147"/>
      <c r="S22" s="148"/>
      <c r="T22" s="8"/>
      <c r="U22" s="8"/>
    </row>
    <row r="23" spans="1:21" ht="21" customHeight="1">
      <c r="A23" s="58">
        <v>30.5</v>
      </c>
      <c r="B23" s="58"/>
      <c r="C23" s="130">
        <f t="shared" si="8"/>
        <v>41081</v>
      </c>
      <c r="D23" s="34">
        <f t="shared" si="9"/>
        <v>3260</v>
      </c>
      <c r="E23" s="39">
        <v>4.9000000000000004</v>
      </c>
      <c r="F23" s="36">
        <f t="shared" si="0"/>
        <v>149</v>
      </c>
      <c r="G23" s="37">
        <f t="shared" si="6"/>
        <v>149</v>
      </c>
      <c r="H23" s="114">
        <f t="shared" si="1"/>
        <v>180.87855297157623</v>
      </c>
      <c r="I23" s="114">
        <f t="shared" si="2"/>
        <v>36.913990402362494</v>
      </c>
      <c r="J23" s="40"/>
      <c r="K23" s="33">
        <f t="shared" si="7"/>
        <v>45.856342987913138</v>
      </c>
      <c r="L23" s="33">
        <f t="shared" si="3"/>
        <v>37.89942321561611</v>
      </c>
      <c r="M23" s="33">
        <f t="shared" si="4"/>
        <v>41.946818364596908</v>
      </c>
      <c r="N23" s="118">
        <f t="shared" si="5"/>
        <v>1.44</v>
      </c>
      <c r="O23" s="147"/>
      <c r="P23" s="147"/>
      <c r="Q23" s="147"/>
      <c r="R23" s="147"/>
      <c r="S23" s="148"/>
      <c r="T23" s="8"/>
      <c r="U23" s="8"/>
    </row>
    <row r="24" spans="1:21">
      <c r="A24" s="58">
        <v>30.5</v>
      </c>
      <c r="B24" s="58"/>
      <c r="C24" s="130">
        <f t="shared" si="8"/>
        <v>41088</v>
      </c>
      <c r="D24" s="34">
        <f t="shared" si="9"/>
        <v>3460</v>
      </c>
      <c r="E24" s="39">
        <v>5.0999999999999996</v>
      </c>
      <c r="F24" s="36">
        <f t="shared" si="0"/>
        <v>156</v>
      </c>
      <c r="G24" s="37">
        <f t="shared" si="6"/>
        <v>156</v>
      </c>
      <c r="H24" s="114">
        <f t="shared" si="1"/>
        <v>180.87855297157623</v>
      </c>
      <c r="I24" s="114">
        <f t="shared" si="2"/>
        <v>35.466382935603185</v>
      </c>
      <c r="J24" s="40"/>
      <c r="K24" s="33">
        <f t="shared" si="7"/>
        <v>45.856342987913138</v>
      </c>
      <c r="L24" s="33">
        <f t="shared" si="3"/>
        <v>37.89942321561611</v>
      </c>
      <c r="M24" s="33">
        <f t="shared" si="4"/>
        <v>41.946818364596908</v>
      </c>
      <c r="N24" s="118">
        <f t="shared" si="5"/>
        <v>1.48</v>
      </c>
      <c r="O24" s="150"/>
      <c r="P24" s="150"/>
      <c r="Q24" s="150"/>
      <c r="R24" s="150"/>
      <c r="S24" s="151"/>
      <c r="T24" s="8"/>
      <c r="U24" s="8"/>
    </row>
    <row r="25" spans="1:21">
      <c r="A25" s="58">
        <v>30.5</v>
      </c>
      <c r="B25" s="58"/>
      <c r="C25" s="130">
        <f t="shared" si="8"/>
        <v>41095</v>
      </c>
      <c r="D25" s="34">
        <f t="shared" si="9"/>
        <v>3660</v>
      </c>
      <c r="E25" s="39">
        <v>4</v>
      </c>
      <c r="F25" s="36">
        <f t="shared" si="0"/>
        <v>122</v>
      </c>
      <c r="G25" s="37">
        <f t="shared" si="6"/>
        <v>122</v>
      </c>
      <c r="H25" s="114">
        <f t="shared" si="1"/>
        <v>180.87855297157623</v>
      </c>
      <c r="I25" s="115">
        <f t="shared" si="2"/>
        <v>45.219638242894057</v>
      </c>
      <c r="J25" s="40"/>
      <c r="K25" s="33">
        <f t="shared" si="7"/>
        <v>45.856342987913138</v>
      </c>
      <c r="L25" s="33">
        <f t="shared" si="3"/>
        <v>37.89942321561611</v>
      </c>
      <c r="M25" s="33">
        <f t="shared" si="4"/>
        <v>41.946818364596908</v>
      </c>
      <c r="N25" s="118">
        <f t="shared" si="5"/>
        <v>1.29</v>
      </c>
      <c r="O25" s="150"/>
      <c r="P25" s="150"/>
      <c r="Q25" s="150"/>
      <c r="R25" s="150"/>
      <c r="S25" s="151"/>
      <c r="T25" s="8"/>
      <c r="U25" s="8"/>
    </row>
    <row r="26" spans="1:21">
      <c r="A26" s="58">
        <v>30.5</v>
      </c>
      <c r="B26" s="58"/>
      <c r="C26" s="130">
        <f t="shared" si="8"/>
        <v>41102</v>
      </c>
      <c r="D26" s="34">
        <f t="shared" si="9"/>
        <v>3860</v>
      </c>
      <c r="E26" s="39">
        <v>3.8</v>
      </c>
      <c r="F26" s="36">
        <f t="shared" si="0"/>
        <v>116</v>
      </c>
      <c r="G26" s="37">
        <f t="shared" si="6"/>
        <v>116</v>
      </c>
      <c r="H26" s="114">
        <f t="shared" si="1"/>
        <v>180.87855297157623</v>
      </c>
      <c r="I26" s="114">
        <f t="shared" si="2"/>
        <v>47.59961920304638</v>
      </c>
      <c r="J26" s="40"/>
      <c r="K26" s="33">
        <f t="shared" si="7"/>
        <v>45.856342987913138</v>
      </c>
      <c r="L26" s="33">
        <f t="shared" si="3"/>
        <v>37.89942321561611</v>
      </c>
      <c r="M26" s="33">
        <f t="shared" si="4"/>
        <v>41.946818364596908</v>
      </c>
      <c r="N26" s="118">
        <f t="shared" si="5"/>
        <v>1.26</v>
      </c>
      <c r="O26" s="150"/>
      <c r="P26" s="150"/>
      <c r="Q26" s="150"/>
      <c r="R26" s="150"/>
      <c r="S26" s="151"/>
      <c r="T26" s="8"/>
      <c r="U26" s="8"/>
    </row>
    <row r="27" spans="1:21">
      <c r="A27" s="58">
        <v>30.5</v>
      </c>
      <c r="B27" s="58"/>
      <c r="C27" s="130">
        <f t="shared" si="8"/>
        <v>41109</v>
      </c>
      <c r="D27" s="34">
        <f t="shared" si="9"/>
        <v>4060</v>
      </c>
      <c r="E27" s="39">
        <v>4.0999999999999996</v>
      </c>
      <c r="F27" s="36">
        <f t="shared" si="0"/>
        <v>125</v>
      </c>
      <c r="G27" s="37">
        <f t="shared" si="6"/>
        <v>125</v>
      </c>
      <c r="H27" s="114">
        <f t="shared" si="1"/>
        <v>180.87855297157623</v>
      </c>
      <c r="I27" s="114">
        <f t="shared" si="2"/>
        <v>44.116720236969812</v>
      </c>
      <c r="J27" s="40"/>
      <c r="K27" s="33">
        <f t="shared" si="7"/>
        <v>45.856342987913138</v>
      </c>
      <c r="L27" s="33">
        <f t="shared" si="3"/>
        <v>37.89942321561611</v>
      </c>
      <c r="M27" s="33">
        <f t="shared" si="4"/>
        <v>41.946818364596908</v>
      </c>
      <c r="N27" s="118">
        <f t="shared" si="5"/>
        <v>1.31</v>
      </c>
      <c r="O27" s="150"/>
      <c r="P27" s="150"/>
      <c r="Q27" s="150"/>
      <c r="R27" s="150"/>
      <c r="S27" s="151"/>
      <c r="T27" s="8"/>
      <c r="U27" s="8"/>
    </row>
    <row r="28" spans="1:21">
      <c r="A28" s="58">
        <v>30.5</v>
      </c>
      <c r="B28" s="58"/>
      <c r="C28" s="130">
        <f t="shared" si="8"/>
        <v>41116</v>
      </c>
      <c r="D28" s="34">
        <f t="shared" si="9"/>
        <v>4260</v>
      </c>
      <c r="E28" s="42">
        <v>3.59</v>
      </c>
      <c r="F28" s="36">
        <f t="shared" si="0"/>
        <v>109</v>
      </c>
      <c r="G28" s="37">
        <f t="shared" si="6"/>
        <v>109</v>
      </c>
      <c r="H28" s="116">
        <f t="shared" si="1"/>
        <v>180.87855297157623</v>
      </c>
      <c r="I28" s="114">
        <f t="shared" si="2"/>
        <v>50.383998042221791</v>
      </c>
      <c r="J28" s="40"/>
      <c r="K28" s="33">
        <f t="shared" si="7"/>
        <v>45.856342987913138</v>
      </c>
      <c r="L28" s="33">
        <f t="shared" si="3"/>
        <v>37.89942321561611</v>
      </c>
      <c r="M28" s="33">
        <f t="shared" si="4"/>
        <v>41.946818364596908</v>
      </c>
      <c r="N28" s="120">
        <f t="shared" si="5"/>
        <v>1.22</v>
      </c>
      <c r="O28" s="150"/>
      <c r="P28" s="150"/>
      <c r="Q28" s="150"/>
      <c r="R28" s="150"/>
      <c r="S28" s="151"/>
      <c r="T28" s="8"/>
      <c r="U28" s="8"/>
    </row>
    <row r="29" spans="1:21">
      <c r="A29" s="58">
        <v>30.5</v>
      </c>
      <c r="B29" s="58"/>
      <c r="C29" s="130">
        <f t="shared" si="8"/>
        <v>41123</v>
      </c>
      <c r="D29" s="34">
        <f t="shared" si="9"/>
        <v>4460</v>
      </c>
      <c r="E29" s="35">
        <v>4.49</v>
      </c>
      <c r="F29" s="36">
        <f t="shared" si="0"/>
        <v>137</v>
      </c>
      <c r="G29" s="37">
        <f t="shared" si="6"/>
        <v>137</v>
      </c>
      <c r="H29" s="114">
        <f t="shared" si="1"/>
        <v>180.87855297157623</v>
      </c>
      <c r="I29" s="114">
        <f t="shared" si="2"/>
        <v>40.284755672956841</v>
      </c>
      <c r="J29" s="40"/>
      <c r="K29" s="33">
        <f t="shared" si="7"/>
        <v>45.856342987913138</v>
      </c>
      <c r="L29" s="33">
        <f t="shared" si="3"/>
        <v>37.89942321561611</v>
      </c>
      <c r="M29" s="33">
        <f t="shared" si="4"/>
        <v>41.946818364596908</v>
      </c>
      <c r="N29" s="118">
        <f t="shared" si="5"/>
        <v>1.3800000000000001</v>
      </c>
      <c r="O29" s="150"/>
      <c r="P29" s="150"/>
      <c r="Q29" s="150"/>
      <c r="R29" s="150"/>
      <c r="S29" s="151"/>
      <c r="T29" s="8"/>
      <c r="U29" s="8"/>
    </row>
    <row r="30" spans="1:21">
      <c r="A30" s="58">
        <v>30.5</v>
      </c>
      <c r="B30" s="58"/>
      <c r="C30" s="130">
        <f t="shared" si="8"/>
        <v>41130</v>
      </c>
      <c r="D30" s="34">
        <f t="shared" si="9"/>
        <v>4660</v>
      </c>
      <c r="E30" s="35">
        <v>3.99</v>
      </c>
      <c r="F30" s="36">
        <f t="shared" si="0"/>
        <v>122</v>
      </c>
      <c r="G30" s="37">
        <f t="shared" si="6"/>
        <v>122</v>
      </c>
      <c r="H30" s="114">
        <f t="shared" si="1"/>
        <v>180.87855297157623</v>
      </c>
      <c r="I30" s="115">
        <f>IF($D30=0,"0",(H30/E30))</f>
        <v>45.332970669567977</v>
      </c>
      <c r="J30" s="40"/>
      <c r="K30" s="33">
        <f t="shared" si="7"/>
        <v>45.856342987913138</v>
      </c>
      <c r="L30" s="33">
        <f t="shared" si="3"/>
        <v>37.89942321561611</v>
      </c>
      <c r="M30" s="33">
        <f t="shared" si="4"/>
        <v>41.946818364596908</v>
      </c>
      <c r="N30" s="118">
        <f t="shared" si="5"/>
        <v>1.29</v>
      </c>
      <c r="O30" s="150"/>
      <c r="P30" s="150"/>
      <c r="Q30" s="150"/>
      <c r="R30" s="150"/>
      <c r="S30" s="151"/>
      <c r="T30" s="8"/>
      <c r="U30" s="8"/>
    </row>
    <row r="31" spans="1:21">
      <c r="A31" s="58"/>
      <c r="B31" s="58"/>
      <c r="C31" s="130">
        <f t="shared" si="8"/>
        <v>41137</v>
      </c>
      <c r="D31" s="34"/>
      <c r="E31" s="35"/>
      <c r="F31" s="36">
        <f t="shared" si="0"/>
        <v>0</v>
      </c>
      <c r="G31" s="37">
        <f t="shared" si="6"/>
        <v>0</v>
      </c>
      <c r="H31" s="114" t="str">
        <f t="shared" si="1"/>
        <v>0</v>
      </c>
      <c r="I31" s="115" t="str">
        <f t="shared" ref="I31:I93" si="10">IF($D31=0,"0",(H31/E31))</f>
        <v>0</v>
      </c>
      <c r="J31" s="40"/>
      <c r="K31" s="33">
        <f t="shared" si="7"/>
        <v>45.856342987913138</v>
      </c>
      <c r="L31" s="33">
        <f t="shared" si="3"/>
        <v>37.89942321561611</v>
      </c>
      <c r="M31" s="33">
        <f t="shared" si="4"/>
        <v>41.946818364596908</v>
      </c>
      <c r="N31" s="118" t="str">
        <f t="shared" si="5"/>
        <v>0</v>
      </c>
      <c r="O31" s="150"/>
      <c r="P31" s="150"/>
      <c r="Q31" s="150"/>
      <c r="R31" s="150"/>
      <c r="S31" s="151"/>
      <c r="T31" s="8"/>
      <c r="U31" s="8"/>
    </row>
    <row r="32" spans="1:21">
      <c r="A32" s="58"/>
      <c r="B32" s="58"/>
      <c r="C32" s="130">
        <f t="shared" si="8"/>
        <v>41144</v>
      </c>
      <c r="D32" s="34"/>
      <c r="E32" s="35"/>
      <c r="F32" s="36">
        <f t="shared" si="0"/>
        <v>0</v>
      </c>
      <c r="G32" s="37">
        <f t="shared" si="6"/>
        <v>0</v>
      </c>
      <c r="H32" s="114" t="str">
        <f t="shared" si="1"/>
        <v>0</v>
      </c>
      <c r="I32" s="115" t="str">
        <f t="shared" si="10"/>
        <v>0</v>
      </c>
      <c r="J32" s="40"/>
      <c r="K32" s="33">
        <f t="shared" si="7"/>
        <v>45.856342987913138</v>
      </c>
      <c r="L32" s="33">
        <f t="shared" si="3"/>
        <v>37.89942321561611</v>
      </c>
      <c r="M32" s="33">
        <f t="shared" si="4"/>
        <v>41.946818364596908</v>
      </c>
      <c r="N32" s="118" t="str">
        <f t="shared" si="5"/>
        <v>0</v>
      </c>
      <c r="O32" s="150"/>
      <c r="P32" s="150"/>
      <c r="Q32" s="150"/>
      <c r="R32" s="150"/>
      <c r="S32" s="151"/>
      <c r="T32" s="8"/>
      <c r="U32" s="8"/>
    </row>
    <row r="33" spans="1:22" ht="34.5" customHeight="1">
      <c r="A33" s="58"/>
      <c r="B33" s="58"/>
      <c r="C33" s="130">
        <f t="shared" si="8"/>
        <v>41151</v>
      </c>
      <c r="D33" s="34"/>
      <c r="E33" s="35"/>
      <c r="F33" s="36">
        <f t="shared" si="0"/>
        <v>0</v>
      </c>
      <c r="G33" s="37">
        <f t="shared" si="6"/>
        <v>0</v>
      </c>
      <c r="H33" s="114" t="str">
        <f t="shared" si="1"/>
        <v>0</v>
      </c>
      <c r="I33" s="115" t="str">
        <f t="shared" si="10"/>
        <v>0</v>
      </c>
      <c r="J33" s="40"/>
      <c r="K33" s="33">
        <f t="shared" si="7"/>
        <v>45.856342987913138</v>
      </c>
      <c r="L33" s="33">
        <f t="shared" si="3"/>
        <v>37.89942321561611</v>
      </c>
      <c r="M33" s="33">
        <f t="shared" si="4"/>
        <v>41.946818364596908</v>
      </c>
      <c r="N33" s="118" t="str">
        <f t="shared" si="5"/>
        <v>0</v>
      </c>
      <c r="O33" s="150"/>
      <c r="P33" s="150"/>
      <c r="Q33" s="150"/>
      <c r="R33" s="150"/>
      <c r="S33" s="151"/>
      <c r="T33" s="8"/>
      <c r="U33" s="8"/>
    </row>
    <row r="34" spans="1:22">
      <c r="A34" s="58"/>
      <c r="B34" s="58"/>
      <c r="C34" s="130">
        <f t="shared" si="8"/>
        <v>41158</v>
      </c>
      <c r="D34" s="34"/>
      <c r="E34" s="35"/>
      <c r="F34" s="36">
        <f t="shared" si="0"/>
        <v>0</v>
      </c>
      <c r="G34" s="37">
        <f t="shared" si="6"/>
        <v>0</v>
      </c>
      <c r="H34" s="114" t="str">
        <f>IF($D34=0,"0",(D34-D33)*$A$3)</f>
        <v>0</v>
      </c>
      <c r="I34" s="114" t="str">
        <f>IF($D34=0,"0",(H34/E34))</f>
        <v>0</v>
      </c>
      <c r="J34" s="40"/>
      <c r="K34" s="33">
        <f t="shared" si="7"/>
        <v>45.856342987913138</v>
      </c>
      <c r="L34" s="33">
        <f t="shared" si="3"/>
        <v>37.89942321561611</v>
      </c>
      <c r="M34" s="33">
        <f t="shared" si="4"/>
        <v>41.946818364596908</v>
      </c>
      <c r="N34" s="118" t="str">
        <f t="shared" si="5"/>
        <v>0</v>
      </c>
      <c r="O34" s="147"/>
      <c r="P34" s="147"/>
      <c r="Q34" s="147"/>
      <c r="R34" s="147"/>
      <c r="S34" s="148"/>
      <c r="T34" s="8"/>
      <c r="U34" s="8"/>
    </row>
    <row r="35" spans="1:22">
      <c r="A35" s="58"/>
      <c r="B35" s="58"/>
      <c r="C35" s="130">
        <f t="shared" si="8"/>
        <v>41165</v>
      </c>
      <c r="D35" s="34"/>
      <c r="E35" s="35"/>
      <c r="F35" s="36">
        <f t="shared" si="0"/>
        <v>0</v>
      </c>
      <c r="G35" s="37">
        <f t="shared" si="6"/>
        <v>0</v>
      </c>
      <c r="H35" s="114" t="str">
        <f>IF($D35=0,"0",(D35-D34)*$A$3)</f>
        <v>0</v>
      </c>
      <c r="I35" s="114" t="str">
        <f t="shared" si="10"/>
        <v>0</v>
      </c>
      <c r="J35" s="40"/>
      <c r="K35" s="33">
        <f t="shared" si="7"/>
        <v>45.856342987913138</v>
      </c>
      <c r="L35" s="33">
        <f t="shared" si="3"/>
        <v>37.89942321561611</v>
      </c>
      <c r="M35" s="33">
        <f t="shared" si="4"/>
        <v>41.946818364596908</v>
      </c>
      <c r="N35" s="118" t="str">
        <f>IF($D35=0,"0",ROUNDUP(((G35/H35)+SUM($J$8:$J$201)/SUM($H$8:$H$201)),2))</f>
        <v>0</v>
      </c>
      <c r="O35" s="147"/>
      <c r="P35" s="147"/>
      <c r="Q35" s="147"/>
      <c r="R35" s="147"/>
      <c r="S35" s="148"/>
      <c r="T35" s="8"/>
      <c r="U35" s="8"/>
    </row>
    <row r="36" spans="1:22">
      <c r="A36" s="58"/>
      <c r="B36" s="58"/>
      <c r="C36" s="130">
        <f t="shared" si="8"/>
        <v>41172</v>
      </c>
      <c r="D36" s="34"/>
      <c r="E36" s="35"/>
      <c r="F36" s="36">
        <f t="shared" si="0"/>
        <v>0</v>
      </c>
      <c r="G36" s="37">
        <f t="shared" si="6"/>
        <v>0</v>
      </c>
      <c r="H36" s="114" t="str">
        <f>IF($D36=0,"0",(D36-D35)*$A$3)</f>
        <v>0</v>
      </c>
      <c r="I36" s="114" t="str">
        <f>IF($D36=0,"0",(H36/E36))</f>
        <v>0</v>
      </c>
      <c r="J36" s="40"/>
      <c r="K36" s="33">
        <f t="shared" si="7"/>
        <v>45.856342987913138</v>
      </c>
      <c r="L36" s="33">
        <f t="shared" si="3"/>
        <v>37.89942321561611</v>
      </c>
      <c r="M36" s="33">
        <f t="shared" si="4"/>
        <v>41.946818364596908</v>
      </c>
      <c r="N36" s="118" t="str">
        <f t="shared" ref="N36:N68" si="11">IF($D36=0,"0",ROUNDUP(((G36/H36)+SUM($J$8:$J$201)/SUM($H$8:$H$201)),2))</f>
        <v>0</v>
      </c>
      <c r="O36" s="147"/>
      <c r="P36" s="147"/>
      <c r="Q36" s="147"/>
      <c r="R36" s="147"/>
      <c r="S36" s="148"/>
      <c r="T36" s="8"/>
      <c r="U36" s="8"/>
    </row>
    <row r="37" spans="1:22">
      <c r="A37" s="58"/>
      <c r="B37" s="58"/>
      <c r="C37" s="130">
        <f t="shared" si="8"/>
        <v>41179</v>
      </c>
      <c r="D37" s="34"/>
      <c r="E37" s="35"/>
      <c r="F37" s="36">
        <f t="shared" si="0"/>
        <v>0</v>
      </c>
      <c r="G37" s="37">
        <f t="shared" si="6"/>
        <v>0</v>
      </c>
      <c r="H37" s="114" t="str">
        <f>IF($D37=0,"0",(D37-D36)*$A$3)</f>
        <v>0</v>
      </c>
      <c r="I37" s="114" t="str">
        <f t="shared" si="10"/>
        <v>0</v>
      </c>
      <c r="J37" s="40"/>
      <c r="K37" s="33">
        <f t="shared" si="7"/>
        <v>45.856342987913138</v>
      </c>
      <c r="L37" s="33">
        <f t="shared" si="3"/>
        <v>37.89942321561611</v>
      </c>
      <c r="M37" s="33">
        <f t="shared" si="4"/>
        <v>41.946818364596908</v>
      </c>
      <c r="N37" s="118" t="str">
        <f t="shared" si="11"/>
        <v>0</v>
      </c>
      <c r="O37" s="147"/>
      <c r="P37" s="147"/>
      <c r="Q37" s="147"/>
      <c r="R37" s="147"/>
      <c r="S37" s="148"/>
      <c r="T37" s="8"/>
      <c r="U37" s="8"/>
    </row>
    <row r="38" spans="1:22">
      <c r="A38" s="58"/>
      <c r="B38" s="58"/>
      <c r="C38" s="130">
        <f t="shared" si="8"/>
        <v>41186</v>
      </c>
      <c r="D38" s="34"/>
      <c r="E38" s="35"/>
      <c r="F38" s="36">
        <f t="shared" si="0"/>
        <v>0</v>
      </c>
      <c r="G38" s="37">
        <f t="shared" si="6"/>
        <v>0</v>
      </c>
      <c r="H38" s="114" t="str">
        <f t="shared" si="1"/>
        <v>0</v>
      </c>
      <c r="I38" s="114" t="str">
        <f t="shared" si="10"/>
        <v>0</v>
      </c>
      <c r="J38" s="40"/>
      <c r="K38" s="33">
        <f t="shared" si="7"/>
        <v>45.856342987913138</v>
      </c>
      <c r="L38" s="33">
        <f t="shared" si="3"/>
        <v>37.89942321561611</v>
      </c>
      <c r="M38" s="33">
        <f t="shared" si="4"/>
        <v>41.946818364596908</v>
      </c>
      <c r="N38" s="118" t="str">
        <f t="shared" si="11"/>
        <v>0</v>
      </c>
      <c r="O38" s="147"/>
      <c r="P38" s="147"/>
      <c r="Q38" s="147"/>
      <c r="R38" s="147"/>
      <c r="S38" s="148"/>
      <c r="T38" s="8"/>
      <c r="U38" s="8"/>
    </row>
    <row r="39" spans="1:22">
      <c r="A39" s="58"/>
      <c r="B39" s="58"/>
      <c r="C39" s="130">
        <f t="shared" si="8"/>
        <v>41193</v>
      </c>
      <c r="D39" s="34"/>
      <c r="E39" s="35"/>
      <c r="F39" s="36">
        <f t="shared" si="0"/>
        <v>0</v>
      </c>
      <c r="G39" s="37">
        <f t="shared" si="6"/>
        <v>0</v>
      </c>
      <c r="H39" s="114" t="str">
        <f t="shared" si="1"/>
        <v>0</v>
      </c>
      <c r="I39" s="114" t="str">
        <f t="shared" si="10"/>
        <v>0</v>
      </c>
      <c r="J39" s="32"/>
      <c r="K39" s="33">
        <f t="shared" si="7"/>
        <v>45.856342987913138</v>
      </c>
      <c r="L39" s="33">
        <f t="shared" si="3"/>
        <v>37.89942321561611</v>
      </c>
      <c r="M39" s="33">
        <f t="shared" si="4"/>
        <v>41.946818364596908</v>
      </c>
      <c r="N39" s="118" t="str">
        <f t="shared" si="11"/>
        <v>0</v>
      </c>
      <c r="O39" s="147"/>
      <c r="P39" s="147"/>
      <c r="Q39" s="147"/>
      <c r="R39" s="147"/>
      <c r="S39" s="148"/>
      <c r="T39" s="8"/>
      <c r="U39" s="8"/>
      <c r="V39" s="8"/>
    </row>
    <row r="40" spans="1:22">
      <c r="A40" s="58"/>
      <c r="B40" s="58"/>
      <c r="C40" s="130">
        <f t="shared" si="8"/>
        <v>41200</v>
      </c>
      <c r="D40" s="34"/>
      <c r="E40" s="35"/>
      <c r="F40" s="36">
        <f t="shared" si="0"/>
        <v>0</v>
      </c>
      <c r="G40" s="37">
        <f t="shared" si="6"/>
        <v>0</v>
      </c>
      <c r="H40" s="114" t="str">
        <f t="shared" ref="H40:H103" si="12">IF($D40=0,"0",(D40-D39)*$A$3)</f>
        <v>0</v>
      </c>
      <c r="I40" s="114" t="str">
        <f t="shared" si="10"/>
        <v>0</v>
      </c>
      <c r="J40" s="40"/>
      <c r="K40" s="33">
        <f t="shared" si="7"/>
        <v>45.856342987913138</v>
      </c>
      <c r="L40" s="33">
        <f t="shared" si="3"/>
        <v>37.89942321561611</v>
      </c>
      <c r="M40" s="33">
        <f t="shared" si="4"/>
        <v>41.946818364596908</v>
      </c>
      <c r="N40" s="118" t="str">
        <f t="shared" si="11"/>
        <v>0</v>
      </c>
      <c r="O40" s="147"/>
      <c r="P40" s="147"/>
      <c r="Q40" s="147"/>
      <c r="R40" s="147"/>
      <c r="S40" s="148"/>
      <c r="T40" s="8"/>
      <c r="U40" s="8"/>
    </row>
    <row r="41" spans="1:22">
      <c r="A41" s="58"/>
      <c r="B41" s="58"/>
      <c r="C41" s="130">
        <f t="shared" si="8"/>
        <v>41207</v>
      </c>
      <c r="D41" s="34"/>
      <c r="E41" s="35"/>
      <c r="F41" s="36">
        <f t="shared" si="0"/>
        <v>0</v>
      </c>
      <c r="G41" s="37">
        <f t="shared" si="6"/>
        <v>0</v>
      </c>
      <c r="H41" s="114" t="str">
        <f t="shared" si="12"/>
        <v>0</v>
      </c>
      <c r="I41" s="114" t="str">
        <f t="shared" si="10"/>
        <v>0</v>
      </c>
      <c r="J41" s="40"/>
      <c r="K41" s="33">
        <f t="shared" si="7"/>
        <v>45.856342987913138</v>
      </c>
      <c r="L41" s="33">
        <f t="shared" si="3"/>
        <v>37.89942321561611</v>
      </c>
      <c r="M41" s="33">
        <f t="shared" si="4"/>
        <v>41.946818364596908</v>
      </c>
      <c r="N41" s="118" t="str">
        <f t="shared" si="11"/>
        <v>0</v>
      </c>
      <c r="O41" s="147"/>
      <c r="P41" s="147"/>
      <c r="Q41" s="147"/>
      <c r="R41" s="147"/>
      <c r="S41" s="148"/>
      <c r="T41" s="8"/>
      <c r="U41" s="8"/>
    </row>
    <row r="42" spans="1:22">
      <c r="A42" s="58"/>
      <c r="B42" s="58"/>
      <c r="C42" s="130">
        <f t="shared" si="8"/>
        <v>41214</v>
      </c>
      <c r="D42" s="34"/>
      <c r="E42" s="35"/>
      <c r="F42" s="36">
        <f t="shared" si="0"/>
        <v>0</v>
      </c>
      <c r="G42" s="37">
        <f t="shared" si="6"/>
        <v>0</v>
      </c>
      <c r="H42" s="114" t="str">
        <f t="shared" si="12"/>
        <v>0</v>
      </c>
      <c r="I42" s="114" t="str">
        <f t="shared" si="10"/>
        <v>0</v>
      </c>
      <c r="J42" s="40"/>
      <c r="K42" s="33">
        <f t="shared" si="7"/>
        <v>45.856342987913138</v>
      </c>
      <c r="L42" s="33">
        <f t="shared" si="3"/>
        <v>37.89942321561611</v>
      </c>
      <c r="M42" s="33">
        <f t="shared" si="4"/>
        <v>41.946818364596908</v>
      </c>
      <c r="N42" s="118" t="str">
        <f t="shared" si="11"/>
        <v>0</v>
      </c>
      <c r="O42" s="147"/>
      <c r="P42" s="147"/>
      <c r="Q42" s="147"/>
      <c r="R42" s="147"/>
      <c r="S42" s="148"/>
      <c r="T42" s="8"/>
      <c r="U42" s="8"/>
    </row>
    <row r="43" spans="1:22">
      <c r="A43" s="58"/>
      <c r="B43" s="58"/>
      <c r="C43" s="130">
        <f t="shared" si="8"/>
        <v>41221</v>
      </c>
      <c r="D43" s="34"/>
      <c r="E43" s="35"/>
      <c r="F43" s="36">
        <f t="shared" si="0"/>
        <v>0</v>
      </c>
      <c r="G43" s="37">
        <f t="shared" si="6"/>
        <v>0</v>
      </c>
      <c r="H43" s="114" t="str">
        <f t="shared" si="12"/>
        <v>0</v>
      </c>
      <c r="I43" s="114" t="str">
        <f t="shared" si="10"/>
        <v>0</v>
      </c>
      <c r="J43" s="40"/>
      <c r="K43" s="33">
        <f t="shared" si="7"/>
        <v>45.856342987913138</v>
      </c>
      <c r="L43" s="33">
        <f t="shared" si="3"/>
        <v>37.89942321561611</v>
      </c>
      <c r="M43" s="33">
        <f t="shared" si="4"/>
        <v>41.946818364596908</v>
      </c>
      <c r="N43" s="118" t="str">
        <f t="shared" si="11"/>
        <v>0</v>
      </c>
      <c r="O43" s="147"/>
      <c r="P43" s="147"/>
      <c r="Q43" s="147"/>
      <c r="R43" s="147"/>
      <c r="S43" s="148"/>
      <c r="T43" s="8"/>
      <c r="U43" s="8"/>
    </row>
    <row r="44" spans="1:22">
      <c r="A44" s="58"/>
      <c r="B44" s="58"/>
      <c r="C44" s="130">
        <f t="shared" si="8"/>
        <v>41228</v>
      </c>
      <c r="D44" s="34"/>
      <c r="E44" s="35"/>
      <c r="F44" s="36">
        <f t="shared" si="0"/>
        <v>0</v>
      </c>
      <c r="G44" s="37">
        <f t="shared" si="6"/>
        <v>0</v>
      </c>
      <c r="H44" s="114" t="str">
        <f t="shared" si="12"/>
        <v>0</v>
      </c>
      <c r="I44" s="114" t="str">
        <f t="shared" si="10"/>
        <v>0</v>
      </c>
      <c r="J44" s="40"/>
      <c r="K44" s="33">
        <f t="shared" si="7"/>
        <v>45.856342987913138</v>
      </c>
      <c r="L44" s="33">
        <f t="shared" si="3"/>
        <v>37.89942321561611</v>
      </c>
      <c r="M44" s="33">
        <f t="shared" si="4"/>
        <v>41.946818364596908</v>
      </c>
      <c r="N44" s="118" t="str">
        <f t="shared" si="11"/>
        <v>0</v>
      </c>
      <c r="O44" s="147"/>
      <c r="P44" s="147"/>
      <c r="Q44" s="147"/>
      <c r="R44" s="147"/>
      <c r="S44" s="148"/>
      <c r="T44" s="8"/>
      <c r="U44" s="8"/>
    </row>
    <row r="45" spans="1:22">
      <c r="A45" s="58"/>
      <c r="B45" s="58"/>
      <c r="C45" s="130">
        <f t="shared" si="8"/>
        <v>41235</v>
      </c>
      <c r="D45" s="34"/>
      <c r="E45" s="35"/>
      <c r="F45" s="36">
        <f t="shared" si="0"/>
        <v>0</v>
      </c>
      <c r="G45" s="37">
        <f t="shared" si="6"/>
        <v>0</v>
      </c>
      <c r="H45" s="114" t="str">
        <f t="shared" si="12"/>
        <v>0</v>
      </c>
      <c r="I45" s="115" t="str">
        <f t="shared" si="10"/>
        <v>0</v>
      </c>
      <c r="J45" s="40"/>
      <c r="K45" s="33">
        <f t="shared" si="7"/>
        <v>45.856342987913138</v>
      </c>
      <c r="L45" s="33">
        <f t="shared" si="3"/>
        <v>37.89942321561611</v>
      </c>
      <c r="M45" s="33">
        <f t="shared" si="4"/>
        <v>41.946818364596908</v>
      </c>
      <c r="N45" s="118" t="str">
        <f t="shared" si="11"/>
        <v>0</v>
      </c>
      <c r="O45" s="150"/>
      <c r="P45" s="150"/>
      <c r="Q45" s="150"/>
      <c r="R45" s="150"/>
      <c r="S45" s="151"/>
      <c r="T45" s="8"/>
      <c r="U45" s="8"/>
    </row>
    <row r="46" spans="1:22">
      <c r="A46" s="58"/>
      <c r="B46" s="58"/>
      <c r="C46" s="130">
        <f t="shared" si="8"/>
        <v>41242</v>
      </c>
      <c r="D46" s="34"/>
      <c r="E46" s="35"/>
      <c r="F46" s="36">
        <f t="shared" si="0"/>
        <v>0</v>
      </c>
      <c r="G46" s="37">
        <f t="shared" si="6"/>
        <v>0</v>
      </c>
      <c r="H46" s="114" t="str">
        <f t="shared" si="12"/>
        <v>0</v>
      </c>
      <c r="I46" s="115" t="str">
        <f t="shared" si="10"/>
        <v>0</v>
      </c>
      <c r="J46" s="40"/>
      <c r="K46" s="33">
        <f t="shared" si="7"/>
        <v>45.856342987913138</v>
      </c>
      <c r="L46" s="33">
        <f t="shared" si="3"/>
        <v>37.89942321561611</v>
      </c>
      <c r="M46" s="33">
        <f t="shared" si="4"/>
        <v>41.946818364596908</v>
      </c>
      <c r="N46" s="118" t="str">
        <f t="shared" si="11"/>
        <v>0</v>
      </c>
      <c r="O46" s="150"/>
      <c r="P46" s="150"/>
      <c r="Q46" s="150"/>
      <c r="R46" s="150"/>
      <c r="S46" s="151"/>
      <c r="T46" s="8"/>
      <c r="U46" s="8"/>
    </row>
    <row r="47" spans="1:22">
      <c r="A47" s="58"/>
      <c r="B47" s="58"/>
      <c r="C47" s="130">
        <f t="shared" si="8"/>
        <v>41249</v>
      </c>
      <c r="D47" s="34"/>
      <c r="E47" s="35"/>
      <c r="F47" s="36">
        <f t="shared" si="0"/>
        <v>0</v>
      </c>
      <c r="G47" s="37">
        <f t="shared" si="6"/>
        <v>0</v>
      </c>
      <c r="H47" s="114" t="str">
        <f t="shared" si="12"/>
        <v>0</v>
      </c>
      <c r="I47" s="115" t="str">
        <f t="shared" si="10"/>
        <v>0</v>
      </c>
      <c r="J47" s="40"/>
      <c r="K47" s="33">
        <f t="shared" si="7"/>
        <v>45.856342987913138</v>
      </c>
      <c r="L47" s="33">
        <f t="shared" si="3"/>
        <v>37.89942321561611</v>
      </c>
      <c r="M47" s="33">
        <f t="shared" si="4"/>
        <v>41.946818364596908</v>
      </c>
      <c r="N47" s="118" t="str">
        <f t="shared" si="11"/>
        <v>0</v>
      </c>
      <c r="O47" s="150"/>
      <c r="P47" s="150"/>
      <c r="Q47" s="150"/>
      <c r="R47" s="150"/>
      <c r="S47" s="151"/>
      <c r="T47" s="8"/>
      <c r="U47" s="8"/>
    </row>
    <row r="48" spans="1:22">
      <c r="A48" s="58"/>
      <c r="B48" s="58"/>
      <c r="C48" s="130">
        <f t="shared" si="8"/>
        <v>41256</v>
      </c>
      <c r="D48" s="34"/>
      <c r="E48" s="35"/>
      <c r="F48" s="36">
        <f t="shared" si="0"/>
        <v>0</v>
      </c>
      <c r="G48" s="37">
        <f t="shared" si="6"/>
        <v>0</v>
      </c>
      <c r="H48" s="114" t="str">
        <f t="shared" si="12"/>
        <v>0</v>
      </c>
      <c r="I48" s="115" t="str">
        <f t="shared" si="10"/>
        <v>0</v>
      </c>
      <c r="J48" s="40"/>
      <c r="K48" s="33">
        <f t="shared" si="7"/>
        <v>45.856342987913138</v>
      </c>
      <c r="L48" s="33">
        <f t="shared" si="3"/>
        <v>37.89942321561611</v>
      </c>
      <c r="M48" s="33">
        <f t="shared" si="4"/>
        <v>41.946818364596908</v>
      </c>
      <c r="N48" s="118" t="str">
        <f t="shared" si="11"/>
        <v>0</v>
      </c>
      <c r="O48" s="150"/>
      <c r="P48" s="150"/>
      <c r="Q48" s="150"/>
      <c r="R48" s="150"/>
      <c r="S48" s="151"/>
      <c r="T48" s="8"/>
      <c r="U48" s="8"/>
    </row>
    <row r="49" spans="1:21">
      <c r="A49" s="58"/>
      <c r="B49" s="58"/>
      <c r="C49" s="130">
        <f t="shared" si="8"/>
        <v>41263</v>
      </c>
      <c r="D49" s="34"/>
      <c r="E49" s="35"/>
      <c r="F49" s="36">
        <f t="shared" si="0"/>
        <v>0</v>
      </c>
      <c r="G49" s="37">
        <f t="shared" si="6"/>
        <v>0</v>
      </c>
      <c r="H49" s="114" t="str">
        <f t="shared" si="12"/>
        <v>0</v>
      </c>
      <c r="I49" s="115" t="str">
        <f t="shared" si="10"/>
        <v>0</v>
      </c>
      <c r="J49" s="40"/>
      <c r="K49" s="33">
        <f t="shared" si="7"/>
        <v>45.856342987913138</v>
      </c>
      <c r="L49" s="33">
        <f t="shared" si="3"/>
        <v>37.89942321561611</v>
      </c>
      <c r="M49" s="33">
        <f t="shared" si="4"/>
        <v>41.946818364596908</v>
      </c>
      <c r="N49" s="118" t="str">
        <f t="shared" si="11"/>
        <v>0</v>
      </c>
      <c r="O49" s="150"/>
      <c r="P49" s="150"/>
      <c r="Q49" s="150"/>
      <c r="R49" s="150"/>
      <c r="S49" s="151"/>
      <c r="T49" s="8"/>
      <c r="U49" s="8"/>
    </row>
    <row r="50" spans="1:21">
      <c r="A50" s="58"/>
      <c r="B50" s="58"/>
      <c r="C50" s="130">
        <f t="shared" si="8"/>
        <v>41270</v>
      </c>
      <c r="D50" s="34"/>
      <c r="E50" s="35"/>
      <c r="F50" s="36">
        <f t="shared" si="0"/>
        <v>0</v>
      </c>
      <c r="G50" s="37">
        <f t="shared" si="6"/>
        <v>0</v>
      </c>
      <c r="H50" s="114" t="str">
        <f t="shared" si="12"/>
        <v>0</v>
      </c>
      <c r="I50" s="115" t="str">
        <f t="shared" si="10"/>
        <v>0</v>
      </c>
      <c r="J50" s="40"/>
      <c r="K50" s="33">
        <f t="shared" si="7"/>
        <v>45.856342987913138</v>
      </c>
      <c r="L50" s="33">
        <f t="shared" si="3"/>
        <v>37.89942321561611</v>
      </c>
      <c r="M50" s="33">
        <f t="shared" si="4"/>
        <v>41.946818364596908</v>
      </c>
      <c r="N50" s="118" t="str">
        <f t="shared" si="11"/>
        <v>0</v>
      </c>
      <c r="O50" s="150"/>
      <c r="P50" s="150"/>
      <c r="Q50" s="150"/>
      <c r="R50" s="150"/>
      <c r="S50" s="151"/>
      <c r="T50" s="8"/>
      <c r="U50" s="8"/>
    </row>
    <row r="51" spans="1:21">
      <c r="A51" s="58"/>
      <c r="B51" s="58"/>
      <c r="C51" s="130">
        <f t="shared" si="8"/>
        <v>41277</v>
      </c>
      <c r="D51" s="34"/>
      <c r="E51" s="35"/>
      <c r="F51" s="36">
        <f t="shared" si="0"/>
        <v>0</v>
      </c>
      <c r="G51" s="37">
        <f t="shared" si="6"/>
        <v>0</v>
      </c>
      <c r="H51" s="114" t="str">
        <f t="shared" si="12"/>
        <v>0</v>
      </c>
      <c r="I51" s="115" t="str">
        <f t="shared" si="10"/>
        <v>0</v>
      </c>
      <c r="J51" s="40"/>
      <c r="K51" s="33">
        <f t="shared" si="7"/>
        <v>45.856342987913138</v>
      </c>
      <c r="L51" s="33">
        <f t="shared" si="3"/>
        <v>37.89942321561611</v>
      </c>
      <c r="M51" s="33">
        <f t="shared" si="4"/>
        <v>41.946818364596908</v>
      </c>
      <c r="N51" s="118" t="str">
        <f t="shared" si="11"/>
        <v>0</v>
      </c>
      <c r="O51" s="150"/>
      <c r="P51" s="150"/>
      <c r="Q51" s="150"/>
      <c r="R51" s="150"/>
      <c r="S51" s="151"/>
      <c r="T51" s="8"/>
      <c r="U51" s="8"/>
    </row>
    <row r="52" spans="1:21">
      <c r="A52" s="58"/>
      <c r="B52" s="58"/>
      <c r="C52" s="130">
        <f t="shared" si="8"/>
        <v>41284</v>
      </c>
      <c r="D52" s="34"/>
      <c r="E52" s="35"/>
      <c r="F52" s="36">
        <f t="shared" si="0"/>
        <v>0</v>
      </c>
      <c r="G52" s="37">
        <f t="shared" si="6"/>
        <v>0</v>
      </c>
      <c r="H52" s="114" t="str">
        <f t="shared" si="12"/>
        <v>0</v>
      </c>
      <c r="I52" s="115" t="str">
        <f t="shared" si="10"/>
        <v>0</v>
      </c>
      <c r="J52" s="40"/>
      <c r="K52" s="33">
        <f t="shared" si="7"/>
        <v>45.856342987913138</v>
      </c>
      <c r="L52" s="33">
        <f t="shared" si="3"/>
        <v>37.89942321561611</v>
      </c>
      <c r="M52" s="33">
        <f t="shared" si="4"/>
        <v>41.946818364596908</v>
      </c>
      <c r="N52" s="118" t="str">
        <f t="shared" si="11"/>
        <v>0</v>
      </c>
      <c r="O52" s="150"/>
      <c r="P52" s="150"/>
      <c r="Q52" s="150"/>
      <c r="R52" s="150"/>
      <c r="S52" s="151"/>
      <c r="T52" s="8"/>
      <c r="U52" s="8"/>
    </row>
    <row r="53" spans="1:21">
      <c r="A53" s="58"/>
      <c r="B53" s="58"/>
      <c r="C53" s="130">
        <f t="shared" si="8"/>
        <v>41291</v>
      </c>
      <c r="D53" s="34"/>
      <c r="E53" s="35"/>
      <c r="F53" s="36">
        <f t="shared" si="0"/>
        <v>0</v>
      </c>
      <c r="G53" s="37">
        <f t="shared" si="6"/>
        <v>0</v>
      </c>
      <c r="H53" s="114" t="str">
        <f t="shared" si="12"/>
        <v>0</v>
      </c>
      <c r="I53" s="115" t="str">
        <f t="shared" si="10"/>
        <v>0</v>
      </c>
      <c r="J53" s="40"/>
      <c r="K53" s="33">
        <f t="shared" si="7"/>
        <v>45.856342987913138</v>
      </c>
      <c r="L53" s="33">
        <f t="shared" si="3"/>
        <v>37.89942321561611</v>
      </c>
      <c r="M53" s="33">
        <f t="shared" si="4"/>
        <v>41.946818364596908</v>
      </c>
      <c r="N53" s="118" t="str">
        <f t="shared" si="11"/>
        <v>0</v>
      </c>
      <c r="O53" s="150"/>
      <c r="P53" s="150"/>
      <c r="Q53" s="150"/>
      <c r="R53" s="150"/>
      <c r="S53" s="151"/>
      <c r="T53" s="8"/>
      <c r="U53" s="8"/>
    </row>
    <row r="54" spans="1:21">
      <c r="A54" s="58"/>
      <c r="B54" s="58"/>
      <c r="C54" s="130">
        <f t="shared" si="8"/>
        <v>41298</v>
      </c>
      <c r="D54" s="34"/>
      <c r="E54" s="35"/>
      <c r="F54" s="36">
        <f t="shared" si="0"/>
        <v>0</v>
      </c>
      <c r="G54" s="37">
        <f t="shared" si="6"/>
        <v>0</v>
      </c>
      <c r="H54" s="114" t="str">
        <f t="shared" si="12"/>
        <v>0</v>
      </c>
      <c r="I54" s="115" t="str">
        <f t="shared" si="10"/>
        <v>0</v>
      </c>
      <c r="J54" s="40"/>
      <c r="K54" s="33">
        <f t="shared" si="7"/>
        <v>45.856342987913138</v>
      </c>
      <c r="L54" s="33">
        <f t="shared" si="3"/>
        <v>37.89942321561611</v>
      </c>
      <c r="M54" s="33">
        <f t="shared" si="4"/>
        <v>41.946818364596908</v>
      </c>
      <c r="N54" s="118" t="str">
        <f t="shared" si="11"/>
        <v>0</v>
      </c>
      <c r="O54" s="150"/>
      <c r="P54" s="150"/>
      <c r="Q54" s="150"/>
      <c r="R54" s="150"/>
      <c r="S54" s="151"/>
      <c r="T54" s="8"/>
      <c r="U54" s="8"/>
    </row>
    <row r="55" spans="1:21">
      <c r="A55" s="58"/>
      <c r="B55" s="58"/>
      <c r="C55" s="130">
        <f t="shared" si="8"/>
        <v>41305</v>
      </c>
      <c r="D55" s="34"/>
      <c r="E55" s="35"/>
      <c r="F55" s="36">
        <f t="shared" si="0"/>
        <v>0</v>
      </c>
      <c r="G55" s="37">
        <f t="shared" si="6"/>
        <v>0</v>
      </c>
      <c r="H55" s="114" t="str">
        <f t="shared" si="12"/>
        <v>0</v>
      </c>
      <c r="I55" s="114" t="str">
        <f t="shared" si="10"/>
        <v>0</v>
      </c>
      <c r="J55" s="40"/>
      <c r="K55" s="33">
        <f t="shared" si="7"/>
        <v>45.856342987913138</v>
      </c>
      <c r="L55" s="33">
        <f t="shared" si="3"/>
        <v>37.89942321561611</v>
      </c>
      <c r="M55" s="33">
        <f t="shared" si="4"/>
        <v>41.946818364596908</v>
      </c>
      <c r="N55" s="118" t="str">
        <f t="shared" si="11"/>
        <v>0</v>
      </c>
      <c r="O55" s="150"/>
      <c r="P55" s="150"/>
      <c r="Q55" s="150"/>
      <c r="R55" s="150"/>
      <c r="S55" s="151"/>
      <c r="T55" s="8"/>
      <c r="U55" s="8"/>
    </row>
    <row r="56" spans="1:21">
      <c r="A56" s="58"/>
      <c r="B56" s="58"/>
      <c r="C56" s="130">
        <f t="shared" si="8"/>
        <v>41312</v>
      </c>
      <c r="D56" s="34"/>
      <c r="E56" s="35"/>
      <c r="F56" s="36">
        <f t="shared" si="0"/>
        <v>0</v>
      </c>
      <c r="G56" s="37">
        <f t="shared" si="6"/>
        <v>0</v>
      </c>
      <c r="H56" s="114" t="str">
        <f t="shared" si="12"/>
        <v>0</v>
      </c>
      <c r="I56" s="115" t="str">
        <f t="shared" si="10"/>
        <v>0</v>
      </c>
      <c r="J56" s="40"/>
      <c r="K56" s="33">
        <f t="shared" si="7"/>
        <v>45.856342987913138</v>
      </c>
      <c r="L56" s="33">
        <f t="shared" si="3"/>
        <v>37.89942321561611</v>
      </c>
      <c r="M56" s="33">
        <f t="shared" si="4"/>
        <v>41.946818364596908</v>
      </c>
      <c r="N56" s="118" t="str">
        <f t="shared" si="11"/>
        <v>0</v>
      </c>
      <c r="O56" s="150"/>
      <c r="P56" s="150"/>
      <c r="Q56" s="150"/>
      <c r="R56" s="150"/>
      <c r="S56" s="151"/>
      <c r="T56" s="8"/>
      <c r="U56" s="8"/>
    </row>
    <row r="57" spans="1:21">
      <c r="A57" s="58"/>
      <c r="B57" s="58"/>
      <c r="C57" s="130">
        <f t="shared" si="8"/>
        <v>41319</v>
      </c>
      <c r="D57" s="34"/>
      <c r="E57" s="35"/>
      <c r="F57" s="36">
        <f t="shared" si="0"/>
        <v>0</v>
      </c>
      <c r="G57" s="37">
        <f t="shared" si="6"/>
        <v>0</v>
      </c>
      <c r="H57" s="114" t="str">
        <f t="shared" si="12"/>
        <v>0</v>
      </c>
      <c r="I57" s="115" t="str">
        <f t="shared" si="10"/>
        <v>0</v>
      </c>
      <c r="J57" s="40"/>
      <c r="K57" s="33">
        <f t="shared" si="7"/>
        <v>45.856342987913138</v>
      </c>
      <c r="L57" s="33">
        <f t="shared" si="3"/>
        <v>37.89942321561611</v>
      </c>
      <c r="M57" s="33">
        <f t="shared" si="4"/>
        <v>41.946818364596908</v>
      </c>
      <c r="N57" s="118" t="str">
        <f t="shared" si="11"/>
        <v>0</v>
      </c>
      <c r="O57" s="150"/>
      <c r="P57" s="150"/>
      <c r="Q57" s="150"/>
      <c r="R57" s="150"/>
      <c r="S57" s="151"/>
      <c r="T57" s="8"/>
      <c r="U57" s="8"/>
    </row>
    <row r="58" spans="1:21">
      <c r="A58" s="58"/>
      <c r="B58" s="58"/>
      <c r="C58" s="130">
        <f t="shared" si="8"/>
        <v>41326</v>
      </c>
      <c r="D58" s="34"/>
      <c r="E58" s="35"/>
      <c r="F58" s="36">
        <f t="shared" si="0"/>
        <v>0</v>
      </c>
      <c r="G58" s="37">
        <f t="shared" si="6"/>
        <v>0</v>
      </c>
      <c r="H58" s="114" t="str">
        <f t="shared" si="12"/>
        <v>0</v>
      </c>
      <c r="I58" s="115" t="str">
        <f t="shared" si="10"/>
        <v>0</v>
      </c>
      <c r="J58" s="40"/>
      <c r="K58" s="33">
        <f t="shared" si="7"/>
        <v>45.856342987913138</v>
      </c>
      <c r="L58" s="33">
        <f t="shared" si="3"/>
        <v>37.89942321561611</v>
      </c>
      <c r="M58" s="33">
        <f t="shared" si="4"/>
        <v>41.946818364596908</v>
      </c>
      <c r="N58" s="118" t="str">
        <f t="shared" si="11"/>
        <v>0</v>
      </c>
      <c r="O58" s="150"/>
      <c r="P58" s="150"/>
      <c r="Q58" s="150"/>
      <c r="R58" s="150"/>
      <c r="S58" s="151"/>
      <c r="T58" s="8"/>
      <c r="U58" s="8"/>
    </row>
    <row r="59" spans="1:21">
      <c r="A59" s="58"/>
      <c r="B59" s="58"/>
      <c r="C59" s="130">
        <f t="shared" si="8"/>
        <v>41333</v>
      </c>
      <c r="D59" s="34"/>
      <c r="E59" s="35"/>
      <c r="F59" s="36">
        <f t="shared" si="0"/>
        <v>0</v>
      </c>
      <c r="G59" s="37">
        <f t="shared" si="6"/>
        <v>0</v>
      </c>
      <c r="H59" s="114" t="str">
        <f t="shared" si="12"/>
        <v>0</v>
      </c>
      <c r="I59" s="115" t="str">
        <f t="shared" si="10"/>
        <v>0</v>
      </c>
      <c r="J59" s="40"/>
      <c r="K59" s="33">
        <f t="shared" si="7"/>
        <v>45.856342987913138</v>
      </c>
      <c r="L59" s="33">
        <f t="shared" si="3"/>
        <v>37.89942321561611</v>
      </c>
      <c r="M59" s="33">
        <f t="shared" si="4"/>
        <v>41.946818364596908</v>
      </c>
      <c r="N59" s="118" t="str">
        <f t="shared" si="11"/>
        <v>0</v>
      </c>
      <c r="O59" s="150"/>
      <c r="P59" s="150"/>
      <c r="Q59" s="150"/>
      <c r="R59" s="150"/>
      <c r="S59" s="151"/>
      <c r="T59" s="8"/>
      <c r="U59" s="8"/>
    </row>
    <row r="60" spans="1:21">
      <c r="A60" s="58"/>
      <c r="B60" s="58"/>
      <c r="C60" s="131">
        <f t="shared" si="8"/>
        <v>41340</v>
      </c>
      <c r="D60" s="34"/>
      <c r="E60" s="35"/>
      <c r="F60" s="36">
        <f t="shared" si="0"/>
        <v>0</v>
      </c>
      <c r="G60" s="37">
        <f t="shared" si="6"/>
        <v>0</v>
      </c>
      <c r="H60" s="114" t="str">
        <f t="shared" si="12"/>
        <v>0</v>
      </c>
      <c r="I60" s="115" t="str">
        <f t="shared" si="10"/>
        <v>0</v>
      </c>
      <c r="J60" s="40"/>
      <c r="K60" s="33">
        <f t="shared" si="7"/>
        <v>45.856342987913138</v>
      </c>
      <c r="L60" s="33">
        <f t="shared" si="3"/>
        <v>37.89942321561611</v>
      </c>
      <c r="M60" s="33">
        <f t="shared" si="4"/>
        <v>41.946818364596908</v>
      </c>
      <c r="N60" s="118" t="str">
        <f t="shared" si="11"/>
        <v>0</v>
      </c>
      <c r="O60" s="150"/>
      <c r="P60" s="150"/>
      <c r="Q60" s="150"/>
      <c r="R60" s="150"/>
      <c r="S60" s="151"/>
      <c r="T60" s="8"/>
      <c r="U60" s="8"/>
    </row>
    <row r="61" spans="1:21" ht="54.75" customHeight="1">
      <c r="A61" s="58"/>
      <c r="B61" s="58"/>
      <c r="C61" s="131">
        <f t="shared" si="8"/>
        <v>41347</v>
      </c>
      <c r="D61" s="34"/>
      <c r="E61" s="35"/>
      <c r="F61" s="36">
        <f t="shared" si="0"/>
        <v>0</v>
      </c>
      <c r="G61" s="37">
        <f t="shared" si="6"/>
        <v>0</v>
      </c>
      <c r="H61" s="114" t="str">
        <f>IF($D61=0,"0",(D61-D60)*$A$3)</f>
        <v>0</v>
      </c>
      <c r="I61" s="115" t="str">
        <f>IF($D61=0,"0",(H61/E61))</f>
        <v>0</v>
      </c>
      <c r="J61" s="40"/>
      <c r="K61" s="33">
        <f t="shared" si="7"/>
        <v>45.856342987913138</v>
      </c>
      <c r="L61" s="33">
        <f t="shared" si="3"/>
        <v>37.89942321561611</v>
      </c>
      <c r="M61" s="33">
        <f t="shared" si="4"/>
        <v>41.946818364596908</v>
      </c>
      <c r="N61" s="118" t="str">
        <f>IF($D61=0,"0",ROUNDUP(((G61/H61)+SUM($J$8:$J$201)/SUM($H$8:$H$201)),2))</f>
        <v>0</v>
      </c>
      <c r="O61" s="150"/>
      <c r="P61" s="150"/>
      <c r="Q61" s="150"/>
      <c r="R61" s="150"/>
      <c r="S61" s="151"/>
      <c r="T61" s="8"/>
      <c r="U61" s="8"/>
    </row>
    <row r="62" spans="1:21">
      <c r="A62" s="58"/>
      <c r="B62" s="58"/>
      <c r="C62" s="131">
        <f t="shared" si="8"/>
        <v>41354</v>
      </c>
      <c r="D62" s="34"/>
      <c r="E62" s="35"/>
      <c r="F62" s="36">
        <f t="shared" si="0"/>
        <v>0</v>
      </c>
      <c r="G62" s="37">
        <f t="shared" si="6"/>
        <v>0</v>
      </c>
      <c r="H62" s="114" t="str">
        <f>IF($D62=0,"0",(D62-D61)*$A$3)</f>
        <v>0</v>
      </c>
      <c r="I62" s="115" t="str">
        <f t="shared" si="10"/>
        <v>0</v>
      </c>
      <c r="J62" s="40"/>
      <c r="K62" s="33">
        <f t="shared" si="7"/>
        <v>45.856342987913138</v>
      </c>
      <c r="L62" s="33">
        <f t="shared" si="3"/>
        <v>37.89942321561611</v>
      </c>
      <c r="M62" s="33">
        <f t="shared" si="4"/>
        <v>41.946818364596908</v>
      </c>
      <c r="N62" s="118" t="str">
        <f t="shared" si="11"/>
        <v>0</v>
      </c>
      <c r="O62" s="150"/>
      <c r="P62" s="150"/>
      <c r="Q62" s="150"/>
      <c r="R62" s="150"/>
      <c r="S62" s="151"/>
      <c r="T62" s="8"/>
      <c r="U62" s="8"/>
    </row>
    <row r="63" spans="1:21">
      <c r="A63" s="58"/>
      <c r="B63" s="58"/>
      <c r="C63" s="131">
        <f t="shared" si="8"/>
        <v>41361</v>
      </c>
      <c r="D63" s="34"/>
      <c r="E63" s="35"/>
      <c r="F63" s="36">
        <f t="shared" si="0"/>
        <v>0</v>
      </c>
      <c r="G63" s="37">
        <f t="shared" si="6"/>
        <v>0</v>
      </c>
      <c r="H63" s="114" t="str">
        <f t="shared" si="12"/>
        <v>0</v>
      </c>
      <c r="I63" s="115" t="str">
        <f t="shared" si="10"/>
        <v>0</v>
      </c>
      <c r="J63" s="40"/>
      <c r="K63" s="33">
        <f t="shared" si="7"/>
        <v>45.856342987913138</v>
      </c>
      <c r="L63" s="33">
        <f t="shared" si="3"/>
        <v>37.89942321561611</v>
      </c>
      <c r="M63" s="33">
        <f t="shared" si="4"/>
        <v>41.946818364596908</v>
      </c>
      <c r="N63" s="118" t="str">
        <f t="shared" si="11"/>
        <v>0</v>
      </c>
      <c r="O63" s="150"/>
      <c r="P63" s="150"/>
      <c r="Q63" s="150"/>
      <c r="R63" s="150"/>
      <c r="S63" s="151"/>
      <c r="T63" s="8"/>
      <c r="U63" s="8"/>
    </row>
    <row r="64" spans="1:21">
      <c r="A64" s="58"/>
      <c r="B64" s="58"/>
      <c r="C64" s="131">
        <f t="shared" si="8"/>
        <v>41368</v>
      </c>
      <c r="D64" s="34"/>
      <c r="E64" s="35"/>
      <c r="F64" s="36">
        <f t="shared" si="0"/>
        <v>0</v>
      </c>
      <c r="G64" s="37">
        <f t="shared" si="6"/>
        <v>0</v>
      </c>
      <c r="H64" s="114" t="str">
        <f t="shared" si="12"/>
        <v>0</v>
      </c>
      <c r="I64" s="115" t="str">
        <f t="shared" si="10"/>
        <v>0</v>
      </c>
      <c r="J64" s="40"/>
      <c r="K64" s="33">
        <f t="shared" si="7"/>
        <v>45.856342987913138</v>
      </c>
      <c r="L64" s="33">
        <f t="shared" si="3"/>
        <v>37.89942321561611</v>
      </c>
      <c r="M64" s="33">
        <f t="shared" si="4"/>
        <v>41.946818364596908</v>
      </c>
      <c r="N64" s="118" t="str">
        <f t="shared" si="11"/>
        <v>0</v>
      </c>
      <c r="O64" s="150"/>
      <c r="P64" s="150"/>
      <c r="Q64" s="150"/>
      <c r="R64" s="150"/>
      <c r="S64" s="151"/>
      <c r="T64" s="8"/>
      <c r="U64" s="8"/>
    </row>
    <row r="65" spans="1:21">
      <c r="A65" s="58"/>
      <c r="B65" s="58"/>
      <c r="C65" s="131">
        <f t="shared" si="8"/>
        <v>41375</v>
      </c>
      <c r="D65" s="34"/>
      <c r="E65" s="35"/>
      <c r="F65" s="36">
        <f t="shared" si="0"/>
        <v>0</v>
      </c>
      <c r="G65" s="37">
        <f t="shared" si="6"/>
        <v>0</v>
      </c>
      <c r="H65" s="114" t="str">
        <f t="shared" si="12"/>
        <v>0</v>
      </c>
      <c r="I65" s="115" t="str">
        <f t="shared" si="10"/>
        <v>0</v>
      </c>
      <c r="J65" s="40"/>
      <c r="K65" s="33">
        <f t="shared" si="7"/>
        <v>45.856342987913138</v>
      </c>
      <c r="L65" s="33">
        <f t="shared" si="3"/>
        <v>37.89942321561611</v>
      </c>
      <c r="M65" s="33">
        <f t="shared" si="4"/>
        <v>41.946818364596908</v>
      </c>
      <c r="N65" s="118" t="str">
        <f t="shared" si="11"/>
        <v>0</v>
      </c>
      <c r="O65" s="150"/>
      <c r="P65" s="150"/>
      <c r="Q65" s="150"/>
      <c r="R65" s="150"/>
      <c r="S65" s="151"/>
      <c r="T65" s="8"/>
      <c r="U65" s="8"/>
    </row>
    <row r="66" spans="1:21">
      <c r="A66" s="58"/>
      <c r="B66" s="58"/>
      <c r="C66" s="131">
        <f t="shared" si="8"/>
        <v>41382</v>
      </c>
      <c r="D66" s="34"/>
      <c r="E66" s="35"/>
      <c r="F66" s="36">
        <f t="shared" si="0"/>
        <v>0</v>
      </c>
      <c r="G66" s="37">
        <f t="shared" si="6"/>
        <v>0</v>
      </c>
      <c r="H66" s="114" t="str">
        <f t="shared" si="12"/>
        <v>0</v>
      </c>
      <c r="I66" s="115" t="str">
        <f t="shared" si="10"/>
        <v>0</v>
      </c>
      <c r="J66" s="40"/>
      <c r="K66" s="33">
        <f t="shared" si="7"/>
        <v>45.856342987913138</v>
      </c>
      <c r="L66" s="33">
        <f t="shared" si="3"/>
        <v>37.89942321561611</v>
      </c>
      <c r="M66" s="33">
        <f t="shared" si="4"/>
        <v>41.946818364596908</v>
      </c>
      <c r="N66" s="118" t="str">
        <f t="shared" si="11"/>
        <v>0</v>
      </c>
      <c r="O66" s="150"/>
      <c r="P66" s="150"/>
      <c r="Q66" s="150"/>
      <c r="R66" s="150"/>
      <c r="S66" s="151"/>
      <c r="T66" s="8"/>
      <c r="U66" s="8"/>
    </row>
    <row r="67" spans="1:21">
      <c r="A67" s="58"/>
      <c r="B67" s="58"/>
      <c r="C67" s="131">
        <f t="shared" si="8"/>
        <v>41389</v>
      </c>
      <c r="D67" s="34"/>
      <c r="E67" s="35"/>
      <c r="F67" s="36">
        <f t="shared" si="0"/>
        <v>0</v>
      </c>
      <c r="G67" s="37">
        <f t="shared" si="6"/>
        <v>0</v>
      </c>
      <c r="H67" s="114" t="str">
        <f t="shared" si="12"/>
        <v>0</v>
      </c>
      <c r="I67" s="115" t="str">
        <f t="shared" si="10"/>
        <v>0</v>
      </c>
      <c r="J67" s="40"/>
      <c r="K67" s="33">
        <f t="shared" si="7"/>
        <v>45.856342987913138</v>
      </c>
      <c r="L67" s="33">
        <f t="shared" si="3"/>
        <v>37.89942321561611</v>
      </c>
      <c r="M67" s="33">
        <f t="shared" si="4"/>
        <v>41.946818364596908</v>
      </c>
      <c r="N67" s="118" t="str">
        <f t="shared" si="11"/>
        <v>0</v>
      </c>
      <c r="O67" s="150"/>
      <c r="P67" s="150"/>
      <c r="Q67" s="150"/>
      <c r="R67" s="150"/>
      <c r="S67" s="151"/>
      <c r="T67" s="8"/>
      <c r="U67" s="8"/>
    </row>
    <row r="68" spans="1:21">
      <c r="A68" s="58"/>
      <c r="B68" s="58"/>
      <c r="C68" s="131">
        <f t="shared" si="8"/>
        <v>41396</v>
      </c>
      <c r="D68" s="34"/>
      <c r="E68" s="35"/>
      <c r="F68" s="36">
        <f t="shared" si="0"/>
        <v>0</v>
      </c>
      <c r="G68" s="37">
        <f t="shared" si="6"/>
        <v>0</v>
      </c>
      <c r="H68" s="114" t="str">
        <f t="shared" si="12"/>
        <v>0</v>
      </c>
      <c r="I68" s="114" t="str">
        <f t="shared" si="10"/>
        <v>0</v>
      </c>
      <c r="J68" s="40"/>
      <c r="K68" s="33">
        <f t="shared" si="7"/>
        <v>45.856342987913138</v>
      </c>
      <c r="L68" s="33">
        <f t="shared" si="3"/>
        <v>37.89942321561611</v>
      </c>
      <c r="M68" s="33">
        <f t="shared" si="4"/>
        <v>41.946818364596908</v>
      </c>
      <c r="N68" s="118" t="str">
        <f t="shared" si="11"/>
        <v>0</v>
      </c>
      <c r="O68" s="150"/>
      <c r="P68" s="150"/>
      <c r="Q68" s="150"/>
      <c r="R68" s="150"/>
      <c r="S68" s="151"/>
      <c r="T68" s="8"/>
      <c r="U68" s="8"/>
    </row>
    <row r="69" spans="1:21">
      <c r="A69" s="58"/>
      <c r="B69" s="58"/>
      <c r="C69" s="131">
        <f t="shared" si="8"/>
        <v>41403</v>
      </c>
      <c r="D69" s="34"/>
      <c r="E69" s="35"/>
      <c r="F69" s="36">
        <f t="shared" si="0"/>
        <v>0</v>
      </c>
      <c r="G69" s="37">
        <f t="shared" si="6"/>
        <v>0</v>
      </c>
      <c r="H69" s="114" t="str">
        <f t="shared" si="12"/>
        <v>0</v>
      </c>
      <c r="I69" s="114" t="str">
        <f t="shared" si="10"/>
        <v>0</v>
      </c>
      <c r="J69" s="40"/>
      <c r="K69" s="33">
        <f t="shared" si="7"/>
        <v>45.856342987913138</v>
      </c>
      <c r="L69" s="33">
        <f t="shared" si="3"/>
        <v>37.89942321561611</v>
      </c>
      <c r="M69" s="33">
        <f t="shared" si="4"/>
        <v>41.946818364596908</v>
      </c>
      <c r="N69" s="118" t="str">
        <f t="shared" ref="N69:N132" si="13">IF($D69=0,"0",ROUNDUP(((G69/H69)+SUM($J$8:$J$201)/SUM($H$8:$H$201)),2))</f>
        <v>0</v>
      </c>
      <c r="O69" s="150"/>
      <c r="P69" s="150"/>
      <c r="Q69" s="150"/>
      <c r="R69" s="150"/>
      <c r="S69" s="151"/>
      <c r="T69" s="8"/>
      <c r="U69" s="8"/>
    </row>
    <row r="70" spans="1:21">
      <c r="A70" s="58"/>
      <c r="B70" s="58"/>
      <c r="C70" s="131">
        <f t="shared" si="8"/>
        <v>41410</v>
      </c>
      <c r="D70" s="34"/>
      <c r="E70" s="35"/>
      <c r="F70" s="36">
        <f t="shared" si="0"/>
        <v>0</v>
      </c>
      <c r="G70" s="37">
        <f t="shared" si="6"/>
        <v>0</v>
      </c>
      <c r="H70" s="114" t="str">
        <f t="shared" si="12"/>
        <v>0</v>
      </c>
      <c r="I70" s="114" t="str">
        <f t="shared" si="10"/>
        <v>0</v>
      </c>
      <c r="J70" s="40"/>
      <c r="K70" s="33">
        <f t="shared" si="7"/>
        <v>45.856342987913138</v>
      </c>
      <c r="L70" s="33">
        <f t="shared" si="3"/>
        <v>37.89942321561611</v>
      </c>
      <c r="M70" s="33">
        <f t="shared" si="4"/>
        <v>41.946818364596908</v>
      </c>
      <c r="N70" s="118" t="str">
        <f t="shared" si="13"/>
        <v>0</v>
      </c>
      <c r="O70" s="150"/>
      <c r="P70" s="150"/>
      <c r="Q70" s="150"/>
      <c r="R70" s="150"/>
      <c r="S70" s="151"/>
      <c r="T70" s="8"/>
      <c r="U70" s="8"/>
    </row>
    <row r="71" spans="1:21">
      <c r="A71" s="58"/>
      <c r="B71" s="58"/>
      <c r="C71" s="131">
        <f t="shared" si="8"/>
        <v>41417</v>
      </c>
      <c r="D71" s="34"/>
      <c r="E71" s="35"/>
      <c r="F71" s="36">
        <f t="shared" si="0"/>
        <v>0</v>
      </c>
      <c r="G71" s="37">
        <f t="shared" si="6"/>
        <v>0</v>
      </c>
      <c r="H71" s="114" t="str">
        <f t="shared" si="12"/>
        <v>0</v>
      </c>
      <c r="I71" s="114" t="str">
        <f t="shared" si="10"/>
        <v>0</v>
      </c>
      <c r="J71" s="40"/>
      <c r="K71" s="33">
        <f t="shared" si="7"/>
        <v>45.856342987913138</v>
      </c>
      <c r="L71" s="33">
        <f t="shared" si="3"/>
        <v>37.89942321561611</v>
      </c>
      <c r="M71" s="33">
        <f t="shared" si="4"/>
        <v>41.946818364596908</v>
      </c>
      <c r="N71" s="118" t="str">
        <f t="shared" si="13"/>
        <v>0</v>
      </c>
      <c r="O71" s="150"/>
      <c r="P71" s="150"/>
      <c r="Q71" s="150"/>
      <c r="R71" s="150"/>
      <c r="S71" s="151"/>
      <c r="T71" s="8"/>
      <c r="U71" s="8"/>
    </row>
    <row r="72" spans="1:21">
      <c r="A72" s="58"/>
      <c r="B72" s="58"/>
      <c r="C72" s="131">
        <f t="shared" si="8"/>
        <v>41424</v>
      </c>
      <c r="D72" s="34"/>
      <c r="E72" s="35"/>
      <c r="F72" s="36">
        <f t="shared" ref="F72:F95" si="14">ROUND(E72*A72,0)</f>
        <v>0</v>
      </c>
      <c r="G72" s="37">
        <f t="shared" ref="G72:G135" si="15">ROUND(E72*A72,0)-ROUND(E72*B72,0)</f>
        <v>0</v>
      </c>
      <c r="H72" s="114" t="str">
        <f t="shared" si="12"/>
        <v>0</v>
      </c>
      <c r="I72" s="114" t="str">
        <f t="shared" si="10"/>
        <v>0</v>
      </c>
      <c r="J72" s="40"/>
      <c r="K72" s="33">
        <f t="shared" si="7"/>
        <v>45.856342987913138</v>
      </c>
      <c r="L72" s="33">
        <f t="shared" ref="L72:L135" si="16">$O$3</f>
        <v>37.89942321561611</v>
      </c>
      <c r="M72" s="33">
        <f t="shared" ref="M72:M135" si="17">$P$3</f>
        <v>41.946818364596908</v>
      </c>
      <c r="N72" s="118" t="str">
        <f t="shared" si="13"/>
        <v>0</v>
      </c>
      <c r="O72" s="150"/>
      <c r="P72" s="150"/>
      <c r="Q72" s="150"/>
      <c r="R72" s="150"/>
      <c r="S72" s="151"/>
      <c r="T72" s="8"/>
      <c r="U72" s="8"/>
    </row>
    <row r="73" spans="1:21">
      <c r="A73" s="58"/>
      <c r="B73" s="58"/>
      <c r="C73" s="131">
        <f t="shared" ref="C73:C110" si="18">C72+7</f>
        <v>41431</v>
      </c>
      <c r="D73" s="34"/>
      <c r="E73" s="35"/>
      <c r="F73" s="36">
        <f t="shared" si="14"/>
        <v>0</v>
      </c>
      <c r="G73" s="37">
        <f t="shared" si="15"/>
        <v>0</v>
      </c>
      <c r="H73" s="114" t="str">
        <f t="shared" si="12"/>
        <v>0</v>
      </c>
      <c r="I73" s="114" t="str">
        <f t="shared" si="10"/>
        <v>0</v>
      </c>
      <c r="J73" s="40"/>
      <c r="K73" s="33">
        <f t="shared" ref="K73:K136" si="19">$J$3</f>
        <v>45.856342987913138</v>
      </c>
      <c r="L73" s="33">
        <f t="shared" si="16"/>
        <v>37.89942321561611</v>
      </c>
      <c r="M73" s="33">
        <f t="shared" si="17"/>
        <v>41.946818364596908</v>
      </c>
      <c r="N73" s="118" t="str">
        <f t="shared" si="13"/>
        <v>0</v>
      </c>
      <c r="O73" s="150"/>
      <c r="P73" s="150"/>
      <c r="Q73" s="150"/>
      <c r="R73" s="150"/>
      <c r="S73" s="151"/>
    </row>
    <row r="74" spans="1:21">
      <c r="A74" s="58"/>
      <c r="B74" s="58"/>
      <c r="C74" s="131">
        <f t="shared" si="18"/>
        <v>41438</v>
      </c>
      <c r="D74" s="34"/>
      <c r="E74" s="35"/>
      <c r="F74" s="36">
        <f t="shared" si="14"/>
        <v>0</v>
      </c>
      <c r="G74" s="37">
        <f t="shared" si="15"/>
        <v>0</v>
      </c>
      <c r="H74" s="114" t="str">
        <f t="shared" si="12"/>
        <v>0</v>
      </c>
      <c r="I74" s="114" t="str">
        <f t="shared" si="10"/>
        <v>0</v>
      </c>
      <c r="J74" s="40"/>
      <c r="K74" s="33">
        <f t="shared" si="19"/>
        <v>45.856342987913138</v>
      </c>
      <c r="L74" s="33">
        <f t="shared" si="16"/>
        <v>37.89942321561611</v>
      </c>
      <c r="M74" s="33">
        <f t="shared" si="17"/>
        <v>41.946818364596908</v>
      </c>
      <c r="N74" s="118" t="str">
        <f t="shared" si="13"/>
        <v>0</v>
      </c>
      <c r="O74" s="150"/>
      <c r="P74" s="150"/>
      <c r="Q74" s="150"/>
      <c r="R74" s="150"/>
      <c r="S74" s="151"/>
    </row>
    <row r="75" spans="1:21">
      <c r="A75" s="58"/>
      <c r="B75" s="58"/>
      <c r="C75" s="131">
        <f t="shared" si="18"/>
        <v>41445</v>
      </c>
      <c r="D75" s="34"/>
      <c r="E75" s="35"/>
      <c r="F75" s="36">
        <f t="shared" si="14"/>
        <v>0</v>
      </c>
      <c r="G75" s="37">
        <f t="shared" si="15"/>
        <v>0</v>
      </c>
      <c r="H75" s="114" t="str">
        <f t="shared" si="12"/>
        <v>0</v>
      </c>
      <c r="I75" s="114" t="str">
        <f t="shared" si="10"/>
        <v>0</v>
      </c>
      <c r="J75" s="40"/>
      <c r="K75" s="33">
        <f t="shared" si="19"/>
        <v>45.856342987913138</v>
      </c>
      <c r="L75" s="33">
        <f t="shared" si="16"/>
        <v>37.89942321561611</v>
      </c>
      <c r="M75" s="33">
        <f t="shared" si="17"/>
        <v>41.946818364596908</v>
      </c>
      <c r="N75" s="118" t="str">
        <f t="shared" si="13"/>
        <v>0</v>
      </c>
      <c r="O75" s="147"/>
      <c r="P75" s="147"/>
      <c r="Q75" s="147"/>
      <c r="R75" s="147"/>
      <c r="S75" s="148"/>
    </row>
    <row r="76" spans="1:21">
      <c r="A76" s="58"/>
      <c r="B76" s="58"/>
      <c r="C76" s="131">
        <f t="shared" si="18"/>
        <v>41452</v>
      </c>
      <c r="D76" s="34"/>
      <c r="E76" s="35"/>
      <c r="F76" s="36">
        <f t="shared" si="14"/>
        <v>0</v>
      </c>
      <c r="G76" s="37">
        <f t="shared" si="15"/>
        <v>0</v>
      </c>
      <c r="H76" s="114" t="str">
        <f t="shared" si="12"/>
        <v>0</v>
      </c>
      <c r="I76" s="114" t="str">
        <f t="shared" si="10"/>
        <v>0</v>
      </c>
      <c r="J76" s="40"/>
      <c r="K76" s="33">
        <f t="shared" si="19"/>
        <v>45.856342987913138</v>
      </c>
      <c r="L76" s="33">
        <f t="shared" si="16"/>
        <v>37.89942321561611</v>
      </c>
      <c r="M76" s="33">
        <f t="shared" si="17"/>
        <v>41.946818364596908</v>
      </c>
      <c r="N76" s="118" t="str">
        <f t="shared" si="13"/>
        <v>0</v>
      </c>
      <c r="O76" s="147"/>
      <c r="P76" s="147"/>
      <c r="Q76" s="147"/>
      <c r="R76" s="147"/>
      <c r="S76" s="148"/>
    </row>
    <row r="77" spans="1:21">
      <c r="A77" s="58"/>
      <c r="B77" s="58"/>
      <c r="C77" s="131">
        <f t="shared" si="18"/>
        <v>41459</v>
      </c>
      <c r="D77" s="34"/>
      <c r="E77" s="35"/>
      <c r="F77" s="36">
        <f t="shared" si="14"/>
        <v>0</v>
      </c>
      <c r="G77" s="37">
        <f t="shared" si="15"/>
        <v>0</v>
      </c>
      <c r="H77" s="114" t="str">
        <f t="shared" si="12"/>
        <v>0</v>
      </c>
      <c r="I77" s="114" t="str">
        <f t="shared" si="10"/>
        <v>0</v>
      </c>
      <c r="J77" s="40"/>
      <c r="K77" s="33">
        <f t="shared" si="19"/>
        <v>45.856342987913138</v>
      </c>
      <c r="L77" s="33">
        <f t="shared" si="16"/>
        <v>37.89942321561611</v>
      </c>
      <c r="M77" s="33">
        <f t="shared" si="17"/>
        <v>41.946818364596908</v>
      </c>
      <c r="N77" s="118" t="str">
        <f t="shared" si="13"/>
        <v>0</v>
      </c>
      <c r="O77" s="147"/>
      <c r="P77" s="147"/>
      <c r="Q77" s="147"/>
      <c r="R77" s="147"/>
      <c r="S77" s="148"/>
    </row>
    <row r="78" spans="1:21">
      <c r="A78" s="58"/>
      <c r="B78" s="58"/>
      <c r="C78" s="131">
        <f t="shared" si="18"/>
        <v>41466</v>
      </c>
      <c r="D78" s="34"/>
      <c r="E78" s="35"/>
      <c r="F78" s="36">
        <f t="shared" si="14"/>
        <v>0</v>
      </c>
      <c r="G78" s="37">
        <f t="shared" si="15"/>
        <v>0</v>
      </c>
      <c r="H78" s="114" t="str">
        <f t="shared" si="12"/>
        <v>0</v>
      </c>
      <c r="I78" s="114" t="str">
        <f t="shared" si="10"/>
        <v>0</v>
      </c>
      <c r="J78" s="40"/>
      <c r="K78" s="33">
        <f t="shared" si="19"/>
        <v>45.856342987913138</v>
      </c>
      <c r="L78" s="33">
        <f t="shared" si="16"/>
        <v>37.89942321561611</v>
      </c>
      <c r="M78" s="33">
        <f t="shared" si="17"/>
        <v>41.946818364596908</v>
      </c>
      <c r="N78" s="118" t="str">
        <f t="shared" si="13"/>
        <v>0</v>
      </c>
      <c r="O78" s="147"/>
      <c r="P78" s="147"/>
      <c r="Q78" s="147"/>
      <c r="R78" s="147"/>
      <c r="S78" s="148"/>
    </row>
    <row r="79" spans="1:21">
      <c r="A79" s="58"/>
      <c r="B79" s="58"/>
      <c r="C79" s="131">
        <f t="shared" si="18"/>
        <v>41473</v>
      </c>
      <c r="D79" s="34"/>
      <c r="E79" s="35"/>
      <c r="F79" s="36">
        <f t="shared" si="14"/>
        <v>0</v>
      </c>
      <c r="G79" s="37">
        <f t="shared" si="15"/>
        <v>0</v>
      </c>
      <c r="H79" s="114" t="str">
        <f t="shared" si="12"/>
        <v>0</v>
      </c>
      <c r="I79" s="114" t="str">
        <f t="shared" si="10"/>
        <v>0</v>
      </c>
      <c r="J79" s="40"/>
      <c r="K79" s="33">
        <f t="shared" si="19"/>
        <v>45.856342987913138</v>
      </c>
      <c r="L79" s="33">
        <f t="shared" si="16"/>
        <v>37.89942321561611</v>
      </c>
      <c r="M79" s="33">
        <f t="shared" si="17"/>
        <v>41.946818364596908</v>
      </c>
      <c r="N79" s="118" t="str">
        <f t="shared" si="13"/>
        <v>0</v>
      </c>
      <c r="O79" s="147"/>
      <c r="P79" s="147"/>
      <c r="Q79" s="147"/>
      <c r="R79" s="147"/>
      <c r="S79" s="148"/>
    </row>
    <row r="80" spans="1:21">
      <c r="A80" s="58"/>
      <c r="B80" s="58"/>
      <c r="C80" s="131">
        <f t="shared" si="18"/>
        <v>41480</v>
      </c>
      <c r="D80" s="34"/>
      <c r="E80" s="35"/>
      <c r="F80" s="36">
        <f t="shared" si="14"/>
        <v>0</v>
      </c>
      <c r="G80" s="37">
        <f t="shared" si="15"/>
        <v>0</v>
      </c>
      <c r="H80" s="114" t="str">
        <f t="shared" si="12"/>
        <v>0</v>
      </c>
      <c r="I80" s="114" t="str">
        <f t="shared" si="10"/>
        <v>0</v>
      </c>
      <c r="J80" s="40"/>
      <c r="K80" s="33">
        <f t="shared" si="19"/>
        <v>45.856342987913138</v>
      </c>
      <c r="L80" s="33">
        <f t="shared" si="16"/>
        <v>37.89942321561611</v>
      </c>
      <c r="M80" s="33">
        <f t="shared" si="17"/>
        <v>41.946818364596908</v>
      </c>
      <c r="N80" s="118" t="str">
        <f t="shared" si="13"/>
        <v>0</v>
      </c>
      <c r="O80" s="147"/>
      <c r="P80" s="147"/>
      <c r="Q80" s="147"/>
      <c r="R80" s="147"/>
      <c r="S80" s="148"/>
    </row>
    <row r="81" spans="1:19">
      <c r="A81" s="58"/>
      <c r="B81" s="58"/>
      <c r="C81" s="131">
        <f t="shared" si="18"/>
        <v>41487</v>
      </c>
      <c r="D81" s="34"/>
      <c r="E81" s="35"/>
      <c r="F81" s="36">
        <f t="shared" si="14"/>
        <v>0</v>
      </c>
      <c r="G81" s="37">
        <f t="shared" si="15"/>
        <v>0</v>
      </c>
      <c r="H81" s="114" t="str">
        <f t="shared" si="12"/>
        <v>0</v>
      </c>
      <c r="I81" s="114" t="str">
        <f t="shared" si="10"/>
        <v>0</v>
      </c>
      <c r="J81" s="40"/>
      <c r="K81" s="33">
        <f t="shared" si="19"/>
        <v>45.856342987913138</v>
      </c>
      <c r="L81" s="33">
        <f t="shared" si="16"/>
        <v>37.89942321561611</v>
      </c>
      <c r="M81" s="33">
        <f t="shared" si="17"/>
        <v>41.946818364596908</v>
      </c>
      <c r="N81" s="118" t="str">
        <f t="shared" si="13"/>
        <v>0</v>
      </c>
      <c r="O81" s="147"/>
      <c r="P81" s="147"/>
      <c r="Q81" s="147"/>
      <c r="R81" s="147"/>
      <c r="S81" s="148"/>
    </row>
    <row r="82" spans="1:19">
      <c r="A82" s="58"/>
      <c r="B82" s="58"/>
      <c r="C82" s="131">
        <f t="shared" si="18"/>
        <v>41494</v>
      </c>
      <c r="D82" s="34"/>
      <c r="E82" s="35"/>
      <c r="F82" s="36">
        <f t="shared" si="14"/>
        <v>0</v>
      </c>
      <c r="G82" s="37">
        <f t="shared" si="15"/>
        <v>0</v>
      </c>
      <c r="H82" s="114" t="str">
        <f t="shared" si="12"/>
        <v>0</v>
      </c>
      <c r="I82" s="114" t="str">
        <f t="shared" si="10"/>
        <v>0</v>
      </c>
      <c r="J82" s="40"/>
      <c r="K82" s="33">
        <f t="shared" si="19"/>
        <v>45.856342987913138</v>
      </c>
      <c r="L82" s="33">
        <f t="shared" si="16"/>
        <v>37.89942321561611</v>
      </c>
      <c r="M82" s="33">
        <f t="shared" si="17"/>
        <v>41.946818364596908</v>
      </c>
      <c r="N82" s="118" t="str">
        <f t="shared" si="13"/>
        <v>0</v>
      </c>
      <c r="O82" s="147"/>
      <c r="P82" s="147"/>
      <c r="Q82" s="147"/>
      <c r="R82" s="147"/>
      <c r="S82" s="148"/>
    </row>
    <row r="83" spans="1:19">
      <c r="A83" s="58"/>
      <c r="B83" s="58"/>
      <c r="C83" s="131">
        <f t="shared" si="18"/>
        <v>41501</v>
      </c>
      <c r="D83" s="34"/>
      <c r="E83" s="35"/>
      <c r="F83" s="36">
        <f t="shared" si="14"/>
        <v>0</v>
      </c>
      <c r="G83" s="37">
        <f t="shared" si="15"/>
        <v>0</v>
      </c>
      <c r="H83" s="114" t="str">
        <f t="shared" si="12"/>
        <v>0</v>
      </c>
      <c r="I83" s="114" t="str">
        <f t="shared" si="10"/>
        <v>0</v>
      </c>
      <c r="J83" s="40"/>
      <c r="K83" s="33">
        <f t="shared" si="19"/>
        <v>45.856342987913138</v>
      </c>
      <c r="L83" s="33">
        <f t="shared" si="16"/>
        <v>37.89942321561611</v>
      </c>
      <c r="M83" s="33">
        <f t="shared" si="17"/>
        <v>41.946818364596908</v>
      </c>
      <c r="N83" s="118" t="str">
        <f t="shared" si="13"/>
        <v>0</v>
      </c>
      <c r="O83" s="147"/>
      <c r="P83" s="147"/>
      <c r="Q83" s="147"/>
      <c r="R83" s="147"/>
      <c r="S83" s="148"/>
    </row>
    <row r="84" spans="1:19">
      <c r="A84" s="58"/>
      <c r="B84" s="58"/>
      <c r="C84" s="131">
        <f t="shared" si="18"/>
        <v>41508</v>
      </c>
      <c r="D84" s="34"/>
      <c r="E84" s="35"/>
      <c r="F84" s="36">
        <f t="shared" si="14"/>
        <v>0</v>
      </c>
      <c r="G84" s="37">
        <f t="shared" si="15"/>
        <v>0</v>
      </c>
      <c r="H84" s="114" t="str">
        <f t="shared" si="12"/>
        <v>0</v>
      </c>
      <c r="I84" s="114" t="str">
        <f t="shared" si="10"/>
        <v>0</v>
      </c>
      <c r="J84" s="40"/>
      <c r="K84" s="33">
        <f t="shared" si="19"/>
        <v>45.856342987913138</v>
      </c>
      <c r="L84" s="33">
        <f t="shared" si="16"/>
        <v>37.89942321561611</v>
      </c>
      <c r="M84" s="33">
        <f t="shared" si="17"/>
        <v>41.946818364596908</v>
      </c>
      <c r="N84" s="118" t="str">
        <f t="shared" si="13"/>
        <v>0</v>
      </c>
      <c r="O84" s="147"/>
      <c r="P84" s="147"/>
      <c r="Q84" s="147"/>
      <c r="R84" s="147"/>
      <c r="S84" s="148"/>
    </row>
    <row r="85" spans="1:19">
      <c r="A85" s="58"/>
      <c r="B85" s="58"/>
      <c r="C85" s="131">
        <f t="shared" si="18"/>
        <v>41515</v>
      </c>
      <c r="D85" s="34"/>
      <c r="E85" s="35"/>
      <c r="F85" s="36">
        <f t="shared" si="14"/>
        <v>0</v>
      </c>
      <c r="G85" s="37">
        <f t="shared" si="15"/>
        <v>0</v>
      </c>
      <c r="H85" s="114" t="str">
        <f t="shared" si="12"/>
        <v>0</v>
      </c>
      <c r="I85" s="114" t="str">
        <f t="shared" si="10"/>
        <v>0</v>
      </c>
      <c r="J85" s="40"/>
      <c r="K85" s="33">
        <f t="shared" si="19"/>
        <v>45.856342987913138</v>
      </c>
      <c r="L85" s="33">
        <f t="shared" si="16"/>
        <v>37.89942321561611</v>
      </c>
      <c r="M85" s="33">
        <f t="shared" si="17"/>
        <v>41.946818364596908</v>
      </c>
      <c r="N85" s="118" t="str">
        <f t="shared" si="13"/>
        <v>0</v>
      </c>
      <c r="O85" s="147"/>
      <c r="P85" s="147"/>
      <c r="Q85" s="147"/>
      <c r="R85" s="147"/>
      <c r="S85" s="148"/>
    </row>
    <row r="86" spans="1:19">
      <c r="A86" s="58"/>
      <c r="B86" s="58"/>
      <c r="C86" s="131">
        <f t="shared" si="18"/>
        <v>41522</v>
      </c>
      <c r="D86" s="34"/>
      <c r="E86" s="35"/>
      <c r="F86" s="36">
        <f t="shared" si="14"/>
        <v>0</v>
      </c>
      <c r="G86" s="37">
        <f t="shared" si="15"/>
        <v>0</v>
      </c>
      <c r="H86" s="114" t="str">
        <f t="shared" si="12"/>
        <v>0</v>
      </c>
      <c r="I86" s="114" t="str">
        <f t="shared" si="10"/>
        <v>0</v>
      </c>
      <c r="J86" s="40"/>
      <c r="K86" s="33">
        <f t="shared" si="19"/>
        <v>45.856342987913138</v>
      </c>
      <c r="L86" s="33">
        <f t="shared" si="16"/>
        <v>37.89942321561611</v>
      </c>
      <c r="M86" s="33">
        <f t="shared" si="17"/>
        <v>41.946818364596908</v>
      </c>
      <c r="N86" s="118" t="str">
        <f t="shared" si="13"/>
        <v>0</v>
      </c>
      <c r="O86" s="147"/>
      <c r="P86" s="147"/>
      <c r="Q86" s="147"/>
      <c r="R86" s="147"/>
      <c r="S86" s="148"/>
    </row>
    <row r="87" spans="1:19">
      <c r="A87" s="58"/>
      <c r="B87" s="58"/>
      <c r="C87" s="131">
        <f t="shared" si="18"/>
        <v>41529</v>
      </c>
      <c r="D87" s="43"/>
      <c r="E87" s="44"/>
      <c r="F87" s="36">
        <f t="shared" si="14"/>
        <v>0</v>
      </c>
      <c r="G87" s="37">
        <f t="shared" si="15"/>
        <v>0</v>
      </c>
      <c r="H87" s="114" t="str">
        <f t="shared" si="12"/>
        <v>0</v>
      </c>
      <c r="I87" s="114" t="str">
        <f t="shared" si="10"/>
        <v>0</v>
      </c>
      <c r="J87" s="32"/>
      <c r="K87" s="33">
        <f t="shared" si="19"/>
        <v>45.856342987913138</v>
      </c>
      <c r="L87" s="33">
        <f t="shared" si="16"/>
        <v>37.89942321561611</v>
      </c>
      <c r="M87" s="33">
        <f t="shared" si="17"/>
        <v>41.946818364596908</v>
      </c>
      <c r="N87" s="118" t="str">
        <f t="shared" si="13"/>
        <v>0</v>
      </c>
      <c r="O87" s="152"/>
      <c r="P87" s="152"/>
      <c r="Q87" s="152"/>
      <c r="R87" s="152"/>
      <c r="S87" s="153"/>
    </row>
    <row r="88" spans="1:19">
      <c r="A88" s="58"/>
      <c r="B88" s="58"/>
      <c r="C88" s="131">
        <f t="shared" si="18"/>
        <v>41536</v>
      </c>
      <c r="D88" s="43"/>
      <c r="E88" s="44"/>
      <c r="F88" s="36">
        <f t="shared" si="14"/>
        <v>0</v>
      </c>
      <c r="G88" s="37">
        <f t="shared" si="15"/>
        <v>0</v>
      </c>
      <c r="H88" s="114" t="str">
        <f t="shared" si="12"/>
        <v>0</v>
      </c>
      <c r="I88" s="114" t="str">
        <f t="shared" si="10"/>
        <v>0</v>
      </c>
      <c r="J88" s="32"/>
      <c r="K88" s="33">
        <f t="shared" si="19"/>
        <v>45.856342987913138</v>
      </c>
      <c r="L88" s="33">
        <f t="shared" si="16"/>
        <v>37.89942321561611</v>
      </c>
      <c r="M88" s="33">
        <f t="shared" si="17"/>
        <v>41.946818364596908</v>
      </c>
      <c r="N88" s="118" t="str">
        <f t="shared" si="13"/>
        <v>0</v>
      </c>
      <c r="O88" s="152"/>
      <c r="P88" s="152"/>
      <c r="Q88" s="152"/>
      <c r="R88" s="152"/>
      <c r="S88" s="153"/>
    </row>
    <row r="89" spans="1:19">
      <c r="A89" s="58"/>
      <c r="B89" s="58"/>
      <c r="C89" s="131">
        <f t="shared" si="18"/>
        <v>41543</v>
      </c>
      <c r="D89" s="43"/>
      <c r="E89" s="44"/>
      <c r="F89" s="36">
        <f t="shared" si="14"/>
        <v>0</v>
      </c>
      <c r="G89" s="37">
        <f t="shared" si="15"/>
        <v>0</v>
      </c>
      <c r="H89" s="114" t="str">
        <f t="shared" si="12"/>
        <v>0</v>
      </c>
      <c r="I89" s="114" t="str">
        <f t="shared" si="10"/>
        <v>0</v>
      </c>
      <c r="J89" s="32"/>
      <c r="K89" s="33">
        <f t="shared" si="19"/>
        <v>45.856342987913138</v>
      </c>
      <c r="L89" s="33">
        <f t="shared" si="16"/>
        <v>37.89942321561611</v>
      </c>
      <c r="M89" s="33">
        <f t="shared" si="17"/>
        <v>41.946818364596908</v>
      </c>
      <c r="N89" s="118" t="str">
        <f t="shared" si="13"/>
        <v>0</v>
      </c>
      <c r="O89" s="152"/>
      <c r="P89" s="152"/>
      <c r="Q89" s="152"/>
      <c r="R89" s="152"/>
      <c r="S89" s="153"/>
    </row>
    <row r="90" spans="1:19">
      <c r="A90" s="58"/>
      <c r="B90" s="58"/>
      <c r="C90" s="131">
        <f t="shared" si="18"/>
        <v>41550</v>
      </c>
      <c r="D90" s="34"/>
      <c r="E90" s="35"/>
      <c r="F90" s="36">
        <f t="shared" si="14"/>
        <v>0</v>
      </c>
      <c r="G90" s="37">
        <f t="shared" si="15"/>
        <v>0</v>
      </c>
      <c r="H90" s="114" t="str">
        <f t="shared" si="12"/>
        <v>0</v>
      </c>
      <c r="I90" s="114" t="str">
        <f t="shared" si="10"/>
        <v>0</v>
      </c>
      <c r="J90" s="40"/>
      <c r="K90" s="33">
        <f t="shared" si="19"/>
        <v>45.856342987913138</v>
      </c>
      <c r="L90" s="33">
        <f t="shared" si="16"/>
        <v>37.89942321561611</v>
      </c>
      <c r="M90" s="33">
        <f t="shared" si="17"/>
        <v>41.946818364596908</v>
      </c>
      <c r="N90" s="118" t="str">
        <f t="shared" si="13"/>
        <v>0</v>
      </c>
      <c r="O90" s="147"/>
      <c r="P90" s="147"/>
      <c r="Q90" s="147"/>
      <c r="R90" s="147"/>
      <c r="S90" s="148"/>
    </row>
    <row r="91" spans="1:19">
      <c r="A91" s="58"/>
      <c r="B91" s="58"/>
      <c r="C91" s="131">
        <f t="shared" si="18"/>
        <v>41557</v>
      </c>
      <c r="D91" s="34"/>
      <c r="E91" s="35"/>
      <c r="F91" s="36">
        <f t="shared" si="14"/>
        <v>0</v>
      </c>
      <c r="G91" s="37">
        <f t="shared" si="15"/>
        <v>0</v>
      </c>
      <c r="H91" s="114" t="str">
        <f t="shared" si="12"/>
        <v>0</v>
      </c>
      <c r="I91" s="114" t="str">
        <f t="shared" si="10"/>
        <v>0</v>
      </c>
      <c r="J91" s="40"/>
      <c r="K91" s="33">
        <f t="shared" si="19"/>
        <v>45.856342987913138</v>
      </c>
      <c r="L91" s="33">
        <f t="shared" si="16"/>
        <v>37.89942321561611</v>
      </c>
      <c r="M91" s="33">
        <f t="shared" si="17"/>
        <v>41.946818364596908</v>
      </c>
      <c r="N91" s="118" t="str">
        <f t="shared" si="13"/>
        <v>0</v>
      </c>
      <c r="O91" s="147"/>
      <c r="P91" s="147"/>
      <c r="Q91" s="147"/>
      <c r="R91" s="147"/>
      <c r="S91" s="148"/>
    </row>
    <row r="92" spans="1:19">
      <c r="A92" s="58"/>
      <c r="B92" s="58"/>
      <c r="C92" s="131">
        <f t="shared" si="18"/>
        <v>41564</v>
      </c>
      <c r="D92" s="34"/>
      <c r="E92" s="35"/>
      <c r="F92" s="36">
        <f t="shared" si="14"/>
        <v>0</v>
      </c>
      <c r="G92" s="37">
        <f t="shared" si="15"/>
        <v>0</v>
      </c>
      <c r="H92" s="114" t="str">
        <f t="shared" si="12"/>
        <v>0</v>
      </c>
      <c r="I92" s="114" t="str">
        <f t="shared" si="10"/>
        <v>0</v>
      </c>
      <c r="J92" s="40"/>
      <c r="K92" s="33">
        <f t="shared" si="19"/>
        <v>45.856342987913138</v>
      </c>
      <c r="L92" s="33">
        <f t="shared" si="16"/>
        <v>37.89942321561611</v>
      </c>
      <c r="M92" s="33">
        <f t="shared" si="17"/>
        <v>41.946818364596908</v>
      </c>
      <c r="N92" s="118" t="str">
        <f t="shared" si="13"/>
        <v>0</v>
      </c>
      <c r="O92" s="147"/>
      <c r="P92" s="147"/>
      <c r="Q92" s="147"/>
      <c r="R92" s="147"/>
      <c r="S92" s="148"/>
    </row>
    <row r="93" spans="1:19">
      <c r="A93" s="58"/>
      <c r="B93" s="58"/>
      <c r="C93" s="131">
        <f t="shared" si="18"/>
        <v>41571</v>
      </c>
      <c r="D93" s="34"/>
      <c r="E93" s="35"/>
      <c r="F93" s="36">
        <f t="shared" si="14"/>
        <v>0</v>
      </c>
      <c r="G93" s="37">
        <f t="shared" si="15"/>
        <v>0</v>
      </c>
      <c r="H93" s="114" t="str">
        <f t="shared" si="12"/>
        <v>0</v>
      </c>
      <c r="I93" s="114" t="str">
        <f t="shared" si="10"/>
        <v>0</v>
      </c>
      <c r="J93" s="40"/>
      <c r="K93" s="33">
        <f t="shared" si="19"/>
        <v>45.856342987913138</v>
      </c>
      <c r="L93" s="33">
        <f t="shared" si="16"/>
        <v>37.89942321561611</v>
      </c>
      <c r="M93" s="33">
        <f t="shared" si="17"/>
        <v>41.946818364596908</v>
      </c>
      <c r="N93" s="118" t="str">
        <f t="shared" si="13"/>
        <v>0</v>
      </c>
      <c r="O93" s="147"/>
      <c r="P93" s="147"/>
      <c r="Q93" s="147"/>
      <c r="R93" s="147"/>
      <c r="S93" s="148"/>
    </row>
    <row r="94" spans="1:19">
      <c r="A94" s="58"/>
      <c r="B94" s="58"/>
      <c r="C94" s="131">
        <f t="shared" si="18"/>
        <v>41578</v>
      </c>
      <c r="D94" s="43"/>
      <c r="E94" s="44"/>
      <c r="F94" s="36">
        <f t="shared" si="14"/>
        <v>0</v>
      </c>
      <c r="G94" s="37">
        <f t="shared" si="15"/>
        <v>0</v>
      </c>
      <c r="H94" s="114"/>
      <c r="I94" s="114"/>
      <c r="J94" s="32"/>
      <c r="K94" s="33">
        <f t="shared" si="19"/>
        <v>45.856342987913138</v>
      </c>
      <c r="L94" s="33">
        <f t="shared" si="16"/>
        <v>37.89942321561611</v>
      </c>
      <c r="M94" s="33">
        <f t="shared" si="17"/>
        <v>41.946818364596908</v>
      </c>
      <c r="N94" s="118" t="str">
        <f t="shared" si="13"/>
        <v>0</v>
      </c>
      <c r="O94" s="152"/>
      <c r="P94" s="152"/>
      <c r="Q94" s="152"/>
      <c r="R94" s="152"/>
      <c r="S94" s="153"/>
    </row>
    <row r="95" spans="1:19">
      <c r="A95" s="58"/>
      <c r="B95" s="58"/>
      <c r="C95" s="131">
        <f t="shared" si="18"/>
        <v>41585</v>
      </c>
      <c r="D95" s="43"/>
      <c r="E95" s="44"/>
      <c r="F95" s="36">
        <f t="shared" si="14"/>
        <v>0</v>
      </c>
      <c r="G95" s="37">
        <f t="shared" si="15"/>
        <v>0</v>
      </c>
      <c r="H95" s="114" t="str">
        <f t="shared" si="12"/>
        <v>0</v>
      </c>
      <c r="I95" s="114" t="str">
        <f t="shared" ref="I95:I138" si="20">IF($D95=0,"0",(H95/E95))</f>
        <v>0</v>
      </c>
      <c r="J95" s="40"/>
      <c r="K95" s="33">
        <f t="shared" si="19"/>
        <v>45.856342987913138</v>
      </c>
      <c r="L95" s="33">
        <f t="shared" si="16"/>
        <v>37.89942321561611</v>
      </c>
      <c r="M95" s="33">
        <f t="shared" si="17"/>
        <v>41.946818364596908</v>
      </c>
      <c r="N95" s="118" t="str">
        <f t="shared" si="13"/>
        <v>0</v>
      </c>
      <c r="O95" s="152"/>
      <c r="P95" s="152"/>
      <c r="Q95" s="152"/>
      <c r="R95" s="152"/>
      <c r="S95" s="153"/>
    </row>
    <row r="96" spans="1:19" ht="43.5" customHeight="1">
      <c r="A96" s="58"/>
      <c r="B96" s="58"/>
      <c r="C96" s="131">
        <f t="shared" si="18"/>
        <v>41592</v>
      </c>
      <c r="D96" s="43"/>
      <c r="E96" s="44"/>
      <c r="F96" s="36">
        <f>ROUND(E96*A96,0)</f>
        <v>0</v>
      </c>
      <c r="G96" s="37">
        <f t="shared" si="15"/>
        <v>0</v>
      </c>
      <c r="H96" s="114" t="str">
        <f t="shared" si="12"/>
        <v>0</v>
      </c>
      <c r="I96" s="114" t="str">
        <f t="shared" si="20"/>
        <v>0</v>
      </c>
      <c r="J96" s="32"/>
      <c r="K96" s="33">
        <f t="shared" si="19"/>
        <v>45.856342987913138</v>
      </c>
      <c r="L96" s="33">
        <f t="shared" si="16"/>
        <v>37.89942321561611</v>
      </c>
      <c r="M96" s="33">
        <f t="shared" si="17"/>
        <v>41.946818364596908</v>
      </c>
      <c r="N96" s="118" t="str">
        <f t="shared" si="13"/>
        <v>0</v>
      </c>
      <c r="O96" s="152"/>
      <c r="P96" s="152"/>
      <c r="Q96" s="152"/>
      <c r="R96" s="152"/>
      <c r="S96" s="153"/>
    </row>
    <row r="97" spans="1:19">
      <c r="A97" s="58"/>
      <c r="B97" s="58"/>
      <c r="C97" s="131">
        <f t="shared" si="18"/>
        <v>41599</v>
      </c>
      <c r="D97" s="34"/>
      <c r="E97" s="35"/>
      <c r="F97" s="36">
        <f t="shared" ref="F97:F138" si="21">ROUND(E97*A97,0)</f>
        <v>0</v>
      </c>
      <c r="G97" s="37">
        <f t="shared" si="15"/>
        <v>0</v>
      </c>
      <c r="H97" s="114" t="str">
        <f t="shared" si="12"/>
        <v>0</v>
      </c>
      <c r="I97" s="114" t="str">
        <f t="shared" si="20"/>
        <v>0</v>
      </c>
      <c r="J97" s="40"/>
      <c r="K97" s="33">
        <f t="shared" si="19"/>
        <v>45.856342987913138</v>
      </c>
      <c r="L97" s="33">
        <f t="shared" si="16"/>
        <v>37.89942321561611</v>
      </c>
      <c r="M97" s="33">
        <f t="shared" si="17"/>
        <v>41.946818364596908</v>
      </c>
      <c r="N97" s="118" t="str">
        <f t="shared" si="13"/>
        <v>0</v>
      </c>
      <c r="O97" s="147"/>
      <c r="P97" s="147"/>
      <c r="Q97" s="147"/>
      <c r="R97" s="147"/>
      <c r="S97" s="148"/>
    </row>
    <row r="98" spans="1:19">
      <c r="A98" s="58"/>
      <c r="B98" s="58"/>
      <c r="C98" s="131">
        <f t="shared" si="18"/>
        <v>41606</v>
      </c>
      <c r="D98" s="34"/>
      <c r="E98" s="35"/>
      <c r="F98" s="36">
        <f t="shared" si="21"/>
        <v>0</v>
      </c>
      <c r="G98" s="37">
        <f t="shared" si="15"/>
        <v>0</v>
      </c>
      <c r="H98" s="114" t="str">
        <f t="shared" si="12"/>
        <v>0</v>
      </c>
      <c r="I98" s="114" t="str">
        <f t="shared" si="20"/>
        <v>0</v>
      </c>
      <c r="J98" s="40"/>
      <c r="K98" s="33">
        <f t="shared" si="19"/>
        <v>45.856342987913138</v>
      </c>
      <c r="L98" s="33">
        <f t="shared" si="16"/>
        <v>37.89942321561611</v>
      </c>
      <c r="M98" s="33">
        <f t="shared" si="17"/>
        <v>41.946818364596908</v>
      </c>
      <c r="N98" s="118" t="str">
        <f t="shared" si="13"/>
        <v>0</v>
      </c>
      <c r="O98" s="147"/>
      <c r="P98" s="147"/>
      <c r="Q98" s="147"/>
      <c r="R98" s="147"/>
      <c r="S98" s="148"/>
    </row>
    <row r="99" spans="1:19">
      <c r="A99" s="58"/>
      <c r="B99" s="58"/>
      <c r="C99" s="131">
        <f t="shared" si="18"/>
        <v>41613</v>
      </c>
      <c r="D99" s="34"/>
      <c r="E99" s="35"/>
      <c r="F99" s="36">
        <f t="shared" si="21"/>
        <v>0</v>
      </c>
      <c r="G99" s="37">
        <f t="shared" si="15"/>
        <v>0</v>
      </c>
      <c r="H99" s="114" t="str">
        <f t="shared" si="12"/>
        <v>0</v>
      </c>
      <c r="I99" s="114" t="str">
        <f t="shared" si="20"/>
        <v>0</v>
      </c>
      <c r="J99" s="40"/>
      <c r="K99" s="33">
        <f t="shared" si="19"/>
        <v>45.856342987913138</v>
      </c>
      <c r="L99" s="33">
        <f t="shared" si="16"/>
        <v>37.89942321561611</v>
      </c>
      <c r="M99" s="33">
        <f t="shared" si="17"/>
        <v>41.946818364596908</v>
      </c>
      <c r="N99" s="118" t="str">
        <f t="shared" si="13"/>
        <v>0</v>
      </c>
      <c r="O99" s="147"/>
      <c r="P99" s="147"/>
      <c r="Q99" s="147"/>
      <c r="R99" s="147"/>
      <c r="S99" s="148"/>
    </row>
    <row r="100" spans="1:19">
      <c r="A100" s="58"/>
      <c r="B100" s="58"/>
      <c r="C100" s="131">
        <f t="shared" si="18"/>
        <v>41620</v>
      </c>
      <c r="D100" s="34"/>
      <c r="E100" s="35"/>
      <c r="F100" s="36">
        <f t="shared" si="21"/>
        <v>0</v>
      </c>
      <c r="G100" s="37">
        <f t="shared" si="15"/>
        <v>0</v>
      </c>
      <c r="H100" s="114" t="str">
        <f t="shared" si="12"/>
        <v>0</v>
      </c>
      <c r="I100" s="114" t="str">
        <f t="shared" si="20"/>
        <v>0</v>
      </c>
      <c r="J100" s="40"/>
      <c r="K100" s="33">
        <f t="shared" si="19"/>
        <v>45.856342987913138</v>
      </c>
      <c r="L100" s="33">
        <f t="shared" si="16"/>
        <v>37.89942321561611</v>
      </c>
      <c r="M100" s="33">
        <f t="shared" si="17"/>
        <v>41.946818364596908</v>
      </c>
      <c r="N100" s="118" t="str">
        <f t="shared" si="13"/>
        <v>0</v>
      </c>
      <c r="O100" s="147"/>
      <c r="P100" s="147"/>
      <c r="Q100" s="147"/>
      <c r="R100" s="147"/>
      <c r="S100" s="148"/>
    </row>
    <row r="101" spans="1:19">
      <c r="A101" s="58"/>
      <c r="B101" s="58"/>
      <c r="C101" s="131">
        <f t="shared" si="18"/>
        <v>41627</v>
      </c>
      <c r="D101" s="43"/>
      <c r="E101" s="44"/>
      <c r="F101" s="36">
        <f t="shared" si="21"/>
        <v>0</v>
      </c>
      <c r="G101" s="37">
        <f t="shared" si="15"/>
        <v>0</v>
      </c>
      <c r="H101" s="114" t="str">
        <f t="shared" si="12"/>
        <v>0</v>
      </c>
      <c r="I101" s="114" t="str">
        <f t="shared" si="20"/>
        <v>0</v>
      </c>
      <c r="J101" s="32"/>
      <c r="K101" s="33">
        <f t="shared" si="19"/>
        <v>45.856342987913138</v>
      </c>
      <c r="L101" s="33">
        <f t="shared" si="16"/>
        <v>37.89942321561611</v>
      </c>
      <c r="M101" s="33">
        <f t="shared" si="17"/>
        <v>41.946818364596908</v>
      </c>
      <c r="N101" s="118" t="str">
        <f t="shared" si="13"/>
        <v>0</v>
      </c>
      <c r="O101" s="152"/>
      <c r="P101" s="152"/>
      <c r="Q101" s="152"/>
      <c r="R101" s="152"/>
      <c r="S101" s="153"/>
    </row>
    <row r="102" spans="1:19">
      <c r="A102" s="58"/>
      <c r="B102" s="58"/>
      <c r="C102" s="131">
        <f t="shared" si="18"/>
        <v>41634</v>
      </c>
      <c r="D102" s="43"/>
      <c r="E102" s="44"/>
      <c r="F102" s="36">
        <f t="shared" si="21"/>
        <v>0</v>
      </c>
      <c r="G102" s="37">
        <f t="shared" si="15"/>
        <v>0</v>
      </c>
      <c r="H102" s="114" t="str">
        <f t="shared" si="12"/>
        <v>0</v>
      </c>
      <c r="I102" s="114" t="str">
        <f t="shared" si="20"/>
        <v>0</v>
      </c>
      <c r="J102" s="32"/>
      <c r="K102" s="33">
        <f t="shared" si="19"/>
        <v>45.856342987913138</v>
      </c>
      <c r="L102" s="33">
        <f t="shared" si="16"/>
        <v>37.89942321561611</v>
      </c>
      <c r="M102" s="33">
        <f t="shared" si="17"/>
        <v>41.946818364596908</v>
      </c>
      <c r="N102" s="118" t="str">
        <f t="shared" si="13"/>
        <v>0</v>
      </c>
      <c r="O102" s="152"/>
      <c r="P102" s="152"/>
      <c r="Q102" s="152"/>
      <c r="R102" s="152"/>
      <c r="S102" s="153"/>
    </row>
    <row r="103" spans="1:19">
      <c r="A103" s="58"/>
      <c r="B103" s="58"/>
      <c r="C103" s="131">
        <f t="shared" si="18"/>
        <v>41641</v>
      </c>
      <c r="D103" s="43"/>
      <c r="E103" s="44"/>
      <c r="F103" s="36">
        <f t="shared" si="21"/>
        <v>0</v>
      </c>
      <c r="G103" s="37">
        <f t="shared" si="15"/>
        <v>0</v>
      </c>
      <c r="H103" s="114" t="str">
        <f t="shared" si="12"/>
        <v>0</v>
      </c>
      <c r="I103" s="114" t="str">
        <f t="shared" si="20"/>
        <v>0</v>
      </c>
      <c r="J103" s="32"/>
      <c r="K103" s="33">
        <f t="shared" si="19"/>
        <v>45.856342987913138</v>
      </c>
      <c r="L103" s="33">
        <f t="shared" si="16"/>
        <v>37.89942321561611</v>
      </c>
      <c r="M103" s="33">
        <f t="shared" si="17"/>
        <v>41.946818364596908</v>
      </c>
      <c r="N103" s="118" t="str">
        <f t="shared" si="13"/>
        <v>0</v>
      </c>
      <c r="O103" s="152"/>
      <c r="P103" s="152"/>
      <c r="Q103" s="152"/>
      <c r="R103" s="152"/>
      <c r="S103" s="153"/>
    </row>
    <row r="104" spans="1:19">
      <c r="A104" s="58"/>
      <c r="B104" s="58"/>
      <c r="C104" s="131">
        <f t="shared" si="18"/>
        <v>41648</v>
      </c>
      <c r="D104" s="34"/>
      <c r="E104" s="35"/>
      <c r="F104" s="36">
        <f t="shared" si="21"/>
        <v>0</v>
      </c>
      <c r="G104" s="37">
        <f t="shared" si="15"/>
        <v>0</v>
      </c>
      <c r="H104" s="114" t="str">
        <f t="shared" ref="H104:H138" si="22">IF($D104=0,"0",(D104-D103)*$A$3)</f>
        <v>0</v>
      </c>
      <c r="I104" s="114" t="str">
        <f t="shared" si="20"/>
        <v>0</v>
      </c>
      <c r="J104" s="40"/>
      <c r="K104" s="33">
        <f t="shared" si="19"/>
        <v>45.856342987913138</v>
      </c>
      <c r="L104" s="33">
        <f t="shared" si="16"/>
        <v>37.89942321561611</v>
      </c>
      <c r="M104" s="33">
        <f t="shared" si="17"/>
        <v>41.946818364596908</v>
      </c>
      <c r="N104" s="118" t="str">
        <f t="shared" si="13"/>
        <v>0</v>
      </c>
      <c r="O104" s="147"/>
      <c r="P104" s="147"/>
      <c r="Q104" s="147"/>
      <c r="R104" s="147"/>
      <c r="S104" s="148"/>
    </row>
    <row r="105" spans="1:19">
      <c r="A105" s="58"/>
      <c r="B105" s="58"/>
      <c r="C105" s="131">
        <f t="shared" si="18"/>
        <v>41655</v>
      </c>
      <c r="D105" s="34"/>
      <c r="E105" s="35"/>
      <c r="F105" s="36">
        <f t="shared" si="21"/>
        <v>0</v>
      </c>
      <c r="G105" s="37">
        <f t="shared" si="15"/>
        <v>0</v>
      </c>
      <c r="H105" s="114" t="str">
        <f t="shared" si="22"/>
        <v>0</v>
      </c>
      <c r="I105" s="114" t="str">
        <f t="shared" si="20"/>
        <v>0</v>
      </c>
      <c r="J105" s="40"/>
      <c r="K105" s="33">
        <f t="shared" si="19"/>
        <v>45.856342987913138</v>
      </c>
      <c r="L105" s="33">
        <f t="shared" si="16"/>
        <v>37.89942321561611</v>
      </c>
      <c r="M105" s="33">
        <f t="shared" si="17"/>
        <v>41.946818364596908</v>
      </c>
      <c r="N105" s="118" t="str">
        <f t="shared" si="13"/>
        <v>0</v>
      </c>
      <c r="O105" s="147"/>
      <c r="P105" s="147"/>
      <c r="Q105" s="147"/>
      <c r="R105" s="147"/>
      <c r="S105" s="148"/>
    </row>
    <row r="106" spans="1:19">
      <c r="A106" s="58"/>
      <c r="B106" s="58"/>
      <c r="C106" s="131">
        <f t="shared" si="18"/>
        <v>41662</v>
      </c>
      <c r="D106" s="34"/>
      <c r="E106" s="35"/>
      <c r="F106" s="36">
        <f t="shared" si="21"/>
        <v>0</v>
      </c>
      <c r="G106" s="37">
        <f t="shared" si="15"/>
        <v>0</v>
      </c>
      <c r="H106" s="114" t="str">
        <f t="shared" si="22"/>
        <v>0</v>
      </c>
      <c r="I106" s="114" t="str">
        <f t="shared" si="20"/>
        <v>0</v>
      </c>
      <c r="J106" s="40"/>
      <c r="K106" s="33">
        <f t="shared" si="19"/>
        <v>45.856342987913138</v>
      </c>
      <c r="L106" s="33">
        <f t="shared" si="16"/>
        <v>37.89942321561611</v>
      </c>
      <c r="M106" s="33">
        <f t="shared" si="17"/>
        <v>41.946818364596908</v>
      </c>
      <c r="N106" s="118" t="str">
        <f t="shared" si="13"/>
        <v>0</v>
      </c>
      <c r="O106" s="147"/>
      <c r="P106" s="147"/>
      <c r="Q106" s="147"/>
      <c r="R106" s="147"/>
      <c r="S106" s="148"/>
    </row>
    <row r="107" spans="1:19">
      <c r="A107" s="58"/>
      <c r="B107" s="58"/>
      <c r="C107" s="131">
        <f t="shared" si="18"/>
        <v>41669</v>
      </c>
      <c r="D107" s="34"/>
      <c r="E107" s="35"/>
      <c r="F107" s="36">
        <f t="shared" si="21"/>
        <v>0</v>
      </c>
      <c r="G107" s="37">
        <f t="shared" si="15"/>
        <v>0</v>
      </c>
      <c r="H107" s="114" t="str">
        <f t="shared" si="22"/>
        <v>0</v>
      </c>
      <c r="I107" s="114" t="str">
        <f t="shared" si="20"/>
        <v>0</v>
      </c>
      <c r="J107" s="40"/>
      <c r="K107" s="33">
        <f t="shared" si="19"/>
        <v>45.856342987913138</v>
      </c>
      <c r="L107" s="33">
        <f t="shared" si="16"/>
        <v>37.89942321561611</v>
      </c>
      <c r="M107" s="33">
        <f t="shared" si="17"/>
        <v>41.946818364596908</v>
      </c>
      <c r="N107" s="118" t="str">
        <f t="shared" si="13"/>
        <v>0</v>
      </c>
      <c r="O107" s="147"/>
      <c r="P107" s="147"/>
      <c r="Q107" s="147"/>
      <c r="R107" s="147"/>
      <c r="S107" s="148"/>
    </row>
    <row r="108" spans="1:19">
      <c r="A108" s="58"/>
      <c r="B108" s="58"/>
      <c r="C108" s="131">
        <f t="shared" si="18"/>
        <v>41676</v>
      </c>
      <c r="D108" s="43"/>
      <c r="E108" s="44"/>
      <c r="F108" s="36">
        <f t="shared" si="21"/>
        <v>0</v>
      </c>
      <c r="G108" s="37">
        <f t="shared" si="15"/>
        <v>0</v>
      </c>
      <c r="H108" s="114" t="str">
        <f t="shared" si="22"/>
        <v>0</v>
      </c>
      <c r="I108" s="114" t="str">
        <f t="shared" si="20"/>
        <v>0</v>
      </c>
      <c r="J108" s="32"/>
      <c r="K108" s="33">
        <f t="shared" si="19"/>
        <v>45.856342987913138</v>
      </c>
      <c r="L108" s="33">
        <f t="shared" si="16"/>
        <v>37.89942321561611</v>
      </c>
      <c r="M108" s="33">
        <f t="shared" si="17"/>
        <v>41.946818364596908</v>
      </c>
      <c r="N108" s="118" t="str">
        <f t="shared" si="13"/>
        <v>0</v>
      </c>
      <c r="O108" s="152"/>
      <c r="P108" s="152"/>
      <c r="Q108" s="152"/>
      <c r="R108" s="152"/>
      <c r="S108" s="153"/>
    </row>
    <row r="109" spans="1:19">
      <c r="A109" s="58"/>
      <c r="B109" s="58"/>
      <c r="C109" s="131">
        <f t="shared" si="18"/>
        <v>41683</v>
      </c>
      <c r="D109" s="43"/>
      <c r="E109" s="44"/>
      <c r="F109" s="36">
        <f t="shared" si="21"/>
        <v>0</v>
      </c>
      <c r="G109" s="37">
        <f t="shared" si="15"/>
        <v>0</v>
      </c>
      <c r="H109" s="114" t="str">
        <f t="shared" si="22"/>
        <v>0</v>
      </c>
      <c r="I109" s="114" t="str">
        <f t="shared" si="20"/>
        <v>0</v>
      </c>
      <c r="J109" s="32"/>
      <c r="K109" s="33">
        <f t="shared" si="19"/>
        <v>45.856342987913138</v>
      </c>
      <c r="L109" s="33">
        <f t="shared" si="16"/>
        <v>37.89942321561611</v>
      </c>
      <c r="M109" s="33">
        <f t="shared" si="17"/>
        <v>41.946818364596908</v>
      </c>
      <c r="N109" s="118" t="str">
        <f t="shared" si="13"/>
        <v>0</v>
      </c>
      <c r="O109" s="152"/>
      <c r="P109" s="152"/>
      <c r="Q109" s="152"/>
      <c r="R109" s="152"/>
      <c r="S109" s="153"/>
    </row>
    <row r="110" spans="1:19">
      <c r="A110" s="58"/>
      <c r="B110" s="58"/>
      <c r="C110" s="131">
        <f t="shared" si="18"/>
        <v>41690</v>
      </c>
      <c r="D110" s="43"/>
      <c r="E110" s="44"/>
      <c r="F110" s="36">
        <f t="shared" si="21"/>
        <v>0</v>
      </c>
      <c r="G110" s="37">
        <f t="shared" si="15"/>
        <v>0</v>
      </c>
      <c r="H110" s="114" t="str">
        <f t="shared" si="22"/>
        <v>0</v>
      </c>
      <c r="I110" s="114" t="str">
        <f t="shared" si="20"/>
        <v>0</v>
      </c>
      <c r="J110" s="32"/>
      <c r="K110" s="33">
        <f t="shared" si="19"/>
        <v>45.856342987913138</v>
      </c>
      <c r="L110" s="33">
        <f t="shared" si="16"/>
        <v>37.89942321561611</v>
      </c>
      <c r="M110" s="33">
        <f t="shared" si="17"/>
        <v>41.946818364596908</v>
      </c>
      <c r="N110" s="118" t="str">
        <f t="shared" si="13"/>
        <v>0</v>
      </c>
      <c r="O110" s="152"/>
      <c r="P110" s="152"/>
      <c r="Q110" s="152"/>
      <c r="R110" s="152"/>
      <c r="S110" s="153"/>
    </row>
    <row r="111" spans="1:19">
      <c r="A111" s="58"/>
      <c r="B111" s="58"/>
      <c r="C111" s="131">
        <f t="shared" ref="C111:C136" si="23">C110+7</f>
        <v>41697</v>
      </c>
      <c r="D111" s="34"/>
      <c r="E111" s="35"/>
      <c r="F111" s="36">
        <f t="shared" si="21"/>
        <v>0</v>
      </c>
      <c r="G111" s="37">
        <f t="shared" si="15"/>
        <v>0</v>
      </c>
      <c r="H111" s="114" t="str">
        <f t="shared" si="22"/>
        <v>0</v>
      </c>
      <c r="I111" s="114" t="str">
        <f t="shared" si="20"/>
        <v>0</v>
      </c>
      <c r="J111" s="40"/>
      <c r="K111" s="33">
        <f t="shared" si="19"/>
        <v>45.856342987913138</v>
      </c>
      <c r="L111" s="33">
        <f t="shared" si="16"/>
        <v>37.89942321561611</v>
      </c>
      <c r="M111" s="33">
        <f t="shared" si="17"/>
        <v>41.946818364596908</v>
      </c>
      <c r="N111" s="118" t="str">
        <f t="shared" si="13"/>
        <v>0</v>
      </c>
      <c r="O111" s="147"/>
      <c r="P111" s="147"/>
      <c r="Q111" s="147"/>
      <c r="R111" s="147"/>
      <c r="S111" s="148"/>
    </row>
    <row r="112" spans="1:19">
      <c r="A112" s="58"/>
      <c r="B112" s="58"/>
      <c r="C112" s="131">
        <f t="shared" si="23"/>
        <v>41704</v>
      </c>
      <c r="D112" s="34"/>
      <c r="E112" s="35"/>
      <c r="F112" s="36">
        <f t="shared" si="21"/>
        <v>0</v>
      </c>
      <c r="G112" s="37">
        <f t="shared" si="15"/>
        <v>0</v>
      </c>
      <c r="H112" s="114" t="str">
        <f t="shared" si="22"/>
        <v>0</v>
      </c>
      <c r="I112" s="114" t="str">
        <f t="shared" si="20"/>
        <v>0</v>
      </c>
      <c r="J112" s="40"/>
      <c r="K112" s="33">
        <f t="shared" si="19"/>
        <v>45.856342987913138</v>
      </c>
      <c r="L112" s="33">
        <f t="shared" si="16"/>
        <v>37.89942321561611</v>
      </c>
      <c r="M112" s="33">
        <f t="shared" si="17"/>
        <v>41.946818364596908</v>
      </c>
      <c r="N112" s="118" t="str">
        <f t="shared" si="13"/>
        <v>0</v>
      </c>
      <c r="O112" s="147"/>
      <c r="P112" s="147"/>
      <c r="Q112" s="147"/>
      <c r="R112" s="147"/>
      <c r="S112" s="148"/>
    </row>
    <row r="113" spans="1:19">
      <c r="A113" s="58"/>
      <c r="B113" s="58"/>
      <c r="C113" s="131">
        <f t="shared" si="23"/>
        <v>41711</v>
      </c>
      <c r="D113" s="34"/>
      <c r="E113" s="35"/>
      <c r="F113" s="36">
        <f t="shared" si="21"/>
        <v>0</v>
      </c>
      <c r="G113" s="37">
        <f t="shared" si="15"/>
        <v>0</v>
      </c>
      <c r="H113" s="114" t="str">
        <f t="shared" si="22"/>
        <v>0</v>
      </c>
      <c r="I113" s="114" t="str">
        <f t="shared" si="20"/>
        <v>0</v>
      </c>
      <c r="J113" s="40"/>
      <c r="K113" s="33">
        <f t="shared" si="19"/>
        <v>45.856342987913138</v>
      </c>
      <c r="L113" s="33">
        <f t="shared" si="16"/>
        <v>37.89942321561611</v>
      </c>
      <c r="M113" s="33">
        <f t="shared" si="17"/>
        <v>41.946818364596908</v>
      </c>
      <c r="N113" s="118" t="str">
        <f t="shared" si="13"/>
        <v>0</v>
      </c>
      <c r="O113" s="147"/>
      <c r="P113" s="147"/>
      <c r="Q113" s="147"/>
      <c r="R113" s="147"/>
      <c r="S113" s="148"/>
    </row>
    <row r="114" spans="1:19">
      <c r="A114" s="58"/>
      <c r="B114" s="58"/>
      <c r="C114" s="131">
        <f t="shared" si="23"/>
        <v>41718</v>
      </c>
      <c r="D114" s="34"/>
      <c r="E114" s="35"/>
      <c r="F114" s="36">
        <f t="shared" si="21"/>
        <v>0</v>
      </c>
      <c r="G114" s="37">
        <f t="shared" si="15"/>
        <v>0</v>
      </c>
      <c r="H114" s="114" t="str">
        <f t="shared" si="22"/>
        <v>0</v>
      </c>
      <c r="I114" s="114" t="str">
        <f t="shared" si="20"/>
        <v>0</v>
      </c>
      <c r="J114" s="40"/>
      <c r="K114" s="33">
        <f t="shared" si="19"/>
        <v>45.856342987913138</v>
      </c>
      <c r="L114" s="33">
        <f t="shared" si="16"/>
        <v>37.89942321561611</v>
      </c>
      <c r="M114" s="33">
        <f t="shared" si="17"/>
        <v>41.946818364596908</v>
      </c>
      <c r="N114" s="118" t="str">
        <f t="shared" si="13"/>
        <v>0</v>
      </c>
      <c r="O114" s="147"/>
      <c r="P114" s="147"/>
      <c r="Q114" s="147"/>
      <c r="R114" s="147"/>
      <c r="S114" s="148"/>
    </row>
    <row r="115" spans="1:19">
      <c r="A115" s="58"/>
      <c r="B115" s="58"/>
      <c r="C115" s="131">
        <f t="shared" si="23"/>
        <v>41725</v>
      </c>
      <c r="D115" s="43"/>
      <c r="E115" s="44"/>
      <c r="F115" s="36">
        <f t="shared" si="21"/>
        <v>0</v>
      </c>
      <c r="G115" s="37">
        <f t="shared" si="15"/>
        <v>0</v>
      </c>
      <c r="H115" s="114" t="str">
        <f t="shared" si="22"/>
        <v>0</v>
      </c>
      <c r="I115" s="114" t="str">
        <f t="shared" si="20"/>
        <v>0</v>
      </c>
      <c r="J115" s="32"/>
      <c r="K115" s="33">
        <f t="shared" si="19"/>
        <v>45.856342987913138</v>
      </c>
      <c r="L115" s="33">
        <f t="shared" si="16"/>
        <v>37.89942321561611</v>
      </c>
      <c r="M115" s="33">
        <f t="shared" si="17"/>
        <v>41.946818364596908</v>
      </c>
      <c r="N115" s="118" t="str">
        <f t="shared" si="13"/>
        <v>0</v>
      </c>
      <c r="O115" s="152"/>
      <c r="P115" s="152"/>
      <c r="Q115" s="152"/>
      <c r="R115" s="152"/>
      <c r="S115" s="153"/>
    </row>
    <row r="116" spans="1:19">
      <c r="A116" s="58"/>
      <c r="B116" s="58"/>
      <c r="C116" s="131">
        <f t="shared" si="23"/>
        <v>41732</v>
      </c>
      <c r="D116" s="43"/>
      <c r="E116" s="44"/>
      <c r="F116" s="36">
        <f t="shared" si="21"/>
        <v>0</v>
      </c>
      <c r="G116" s="37">
        <f t="shared" si="15"/>
        <v>0</v>
      </c>
      <c r="H116" s="114" t="str">
        <f t="shared" si="22"/>
        <v>0</v>
      </c>
      <c r="I116" s="114" t="str">
        <f t="shared" si="20"/>
        <v>0</v>
      </c>
      <c r="J116" s="32"/>
      <c r="K116" s="33">
        <f t="shared" si="19"/>
        <v>45.856342987913138</v>
      </c>
      <c r="L116" s="33">
        <f t="shared" si="16"/>
        <v>37.89942321561611</v>
      </c>
      <c r="M116" s="33">
        <f t="shared" si="17"/>
        <v>41.946818364596908</v>
      </c>
      <c r="N116" s="118" t="str">
        <f t="shared" si="13"/>
        <v>0</v>
      </c>
      <c r="O116" s="152"/>
      <c r="P116" s="152"/>
      <c r="Q116" s="152"/>
      <c r="R116" s="152"/>
      <c r="S116" s="153"/>
    </row>
    <row r="117" spans="1:19">
      <c r="A117" s="58"/>
      <c r="B117" s="58"/>
      <c r="C117" s="131">
        <f t="shared" si="23"/>
        <v>41739</v>
      </c>
      <c r="D117" s="43"/>
      <c r="E117" s="44"/>
      <c r="F117" s="36">
        <f t="shared" si="21"/>
        <v>0</v>
      </c>
      <c r="G117" s="37">
        <f t="shared" si="15"/>
        <v>0</v>
      </c>
      <c r="H117" s="114" t="str">
        <f t="shared" si="22"/>
        <v>0</v>
      </c>
      <c r="I117" s="114" t="str">
        <f t="shared" si="20"/>
        <v>0</v>
      </c>
      <c r="J117" s="32"/>
      <c r="K117" s="33">
        <f t="shared" si="19"/>
        <v>45.856342987913138</v>
      </c>
      <c r="L117" s="33">
        <f t="shared" si="16"/>
        <v>37.89942321561611</v>
      </c>
      <c r="M117" s="33">
        <f t="shared" si="17"/>
        <v>41.946818364596908</v>
      </c>
      <c r="N117" s="118" t="str">
        <f t="shared" si="13"/>
        <v>0</v>
      </c>
      <c r="O117" s="152"/>
      <c r="P117" s="152"/>
      <c r="Q117" s="152"/>
      <c r="R117" s="152"/>
      <c r="S117" s="153"/>
    </row>
    <row r="118" spans="1:19">
      <c r="A118" s="58"/>
      <c r="B118" s="58"/>
      <c r="C118" s="131">
        <f t="shared" si="23"/>
        <v>41746</v>
      </c>
      <c r="D118" s="34"/>
      <c r="E118" s="35"/>
      <c r="F118" s="36">
        <f t="shared" si="21"/>
        <v>0</v>
      </c>
      <c r="G118" s="37">
        <f t="shared" si="15"/>
        <v>0</v>
      </c>
      <c r="H118" s="114" t="str">
        <f t="shared" si="22"/>
        <v>0</v>
      </c>
      <c r="I118" s="114" t="str">
        <f t="shared" si="20"/>
        <v>0</v>
      </c>
      <c r="J118" s="40"/>
      <c r="K118" s="33">
        <f t="shared" si="19"/>
        <v>45.856342987913138</v>
      </c>
      <c r="L118" s="33">
        <f t="shared" si="16"/>
        <v>37.89942321561611</v>
      </c>
      <c r="M118" s="33">
        <f t="shared" si="17"/>
        <v>41.946818364596908</v>
      </c>
      <c r="N118" s="118" t="str">
        <f t="shared" si="13"/>
        <v>0</v>
      </c>
      <c r="O118" s="147"/>
      <c r="P118" s="147"/>
      <c r="Q118" s="147"/>
      <c r="R118" s="147"/>
      <c r="S118" s="148"/>
    </row>
    <row r="119" spans="1:19">
      <c r="A119" s="58"/>
      <c r="B119" s="58"/>
      <c r="C119" s="131">
        <f t="shared" si="23"/>
        <v>41753</v>
      </c>
      <c r="D119" s="34"/>
      <c r="E119" s="35"/>
      <c r="F119" s="36">
        <f t="shared" si="21"/>
        <v>0</v>
      </c>
      <c r="G119" s="37">
        <f t="shared" si="15"/>
        <v>0</v>
      </c>
      <c r="H119" s="114" t="str">
        <f t="shared" si="22"/>
        <v>0</v>
      </c>
      <c r="I119" s="114" t="str">
        <f t="shared" si="20"/>
        <v>0</v>
      </c>
      <c r="J119" s="40"/>
      <c r="K119" s="33">
        <f t="shared" si="19"/>
        <v>45.856342987913138</v>
      </c>
      <c r="L119" s="33">
        <f t="shared" si="16"/>
        <v>37.89942321561611</v>
      </c>
      <c r="M119" s="33">
        <f t="shared" si="17"/>
        <v>41.946818364596908</v>
      </c>
      <c r="N119" s="118" t="str">
        <f t="shared" si="13"/>
        <v>0</v>
      </c>
      <c r="O119" s="147"/>
      <c r="P119" s="147"/>
      <c r="Q119" s="147"/>
      <c r="R119" s="147"/>
      <c r="S119" s="148"/>
    </row>
    <row r="120" spans="1:19">
      <c r="A120" s="58"/>
      <c r="B120" s="58"/>
      <c r="C120" s="131">
        <f t="shared" si="23"/>
        <v>41760</v>
      </c>
      <c r="D120" s="34"/>
      <c r="E120" s="35"/>
      <c r="F120" s="36">
        <f t="shared" si="21"/>
        <v>0</v>
      </c>
      <c r="G120" s="37">
        <f t="shared" si="15"/>
        <v>0</v>
      </c>
      <c r="H120" s="114" t="str">
        <f t="shared" si="22"/>
        <v>0</v>
      </c>
      <c r="I120" s="114" t="str">
        <f t="shared" si="20"/>
        <v>0</v>
      </c>
      <c r="J120" s="40"/>
      <c r="K120" s="33">
        <f t="shared" si="19"/>
        <v>45.856342987913138</v>
      </c>
      <c r="L120" s="33">
        <f t="shared" si="16"/>
        <v>37.89942321561611</v>
      </c>
      <c r="M120" s="33">
        <f t="shared" si="17"/>
        <v>41.946818364596908</v>
      </c>
      <c r="N120" s="118" t="str">
        <f t="shared" si="13"/>
        <v>0</v>
      </c>
      <c r="O120" s="147"/>
      <c r="P120" s="147"/>
      <c r="Q120" s="147"/>
      <c r="R120" s="147"/>
      <c r="S120" s="148"/>
    </row>
    <row r="121" spans="1:19">
      <c r="A121" s="58"/>
      <c r="B121" s="58"/>
      <c r="C121" s="131">
        <f t="shared" si="23"/>
        <v>41767</v>
      </c>
      <c r="D121" s="34"/>
      <c r="E121" s="35"/>
      <c r="F121" s="36">
        <f t="shared" si="21"/>
        <v>0</v>
      </c>
      <c r="G121" s="37">
        <f t="shared" si="15"/>
        <v>0</v>
      </c>
      <c r="H121" s="114" t="str">
        <f t="shared" si="22"/>
        <v>0</v>
      </c>
      <c r="I121" s="114" t="str">
        <f t="shared" si="20"/>
        <v>0</v>
      </c>
      <c r="J121" s="40"/>
      <c r="K121" s="33">
        <f t="shared" si="19"/>
        <v>45.856342987913138</v>
      </c>
      <c r="L121" s="33">
        <f t="shared" si="16"/>
        <v>37.89942321561611</v>
      </c>
      <c r="M121" s="33">
        <f t="shared" si="17"/>
        <v>41.946818364596908</v>
      </c>
      <c r="N121" s="118" t="str">
        <f t="shared" si="13"/>
        <v>0</v>
      </c>
      <c r="O121" s="147"/>
      <c r="P121" s="147"/>
      <c r="Q121" s="147"/>
      <c r="R121" s="147"/>
      <c r="S121" s="148"/>
    </row>
    <row r="122" spans="1:19">
      <c r="A122" s="58"/>
      <c r="B122" s="58"/>
      <c r="C122" s="131">
        <f t="shared" si="23"/>
        <v>41774</v>
      </c>
      <c r="D122" s="43"/>
      <c r="E122" s="44"/>
      <c r="F122" s="36">
        <f t="shared" si="21"/>
        <v>0</v>
      </c>
      <c r="G122" s="37">
        <f t="shared" si="15"/>
        <v>0</v>
      </c>
      <c r="H122" s="114" t="str">
        <f t="shared" si="22"/>
        <v>0</v>
      </c>
      <c r="I122" s="114" t="str">
        <f t="shared" si="20"/>
        <v>0</v>
      </c>
      <c r="J122" s="32"/>
      <c r="K122" s="33">
        <f t="shared" si="19"/>
        <v>45.856342987913138</v>
      </c>
      <c r="L122" s="33">
        <f t="shared" si="16"/>
        <v>37.89942321561611</v>
      </c>
      <c r="M122" s="33">
        <f t="shared" si="17"/>
        <v>41.946818364596908</v>
      </c>
      <c r="N122" s="118" t="str">
        <f t="shared" si="13"/>
        <v>0</v>
      </c>
      <c r="O122" s="152"/>
      <c r="P122" s="152"/>
      <c r="Q122" s="152"/>
      <c r="R122" s="152"/>
      <c r="S122" s="153"/>
    </row>
    <row r="123" spans="1:19">
      <c r="A123" s="58"/>
      <c r="B123" s="58"/>
      <c r="C123" s="131">
        <f t="shared" si="23"/>
        <v>41781</v>
      </c>
      <c r="D123" s="43"/>
      <c r="E123" s="44"/>
      <c r="F123" s="36">
        <f t="shared" si="21"/>
        <v>0</v>
      </c>
      <c r="G123" s="37">
        <f t="shared" si="15"/>
        <v>0</v>
      </c>
      <c r="H123" s="114" t="str">
        <f t="shared" si="22"/>
        <v>0</v>
      </c>
      <c r="I123" s="114" t="str">
        <f t="shared" si="20"/>
        <v>0</v>
      </c>
      <c r="J123" s="32"/>
      <c r="K123" s="33">
        <f t="shared" si="19"/>
        <v>45.856342987913138</v>
      </c>
      <c r="L123" s="33">
        <f t="shared" si="16"/>
        <v>37.89942321561611</v>
      </c>
      <c r="M123" s="33">
        <f t="shared" si="17"/>
        <v>41.946818364596908</v>
      </c>
      <c r="N123" s="118" t="str">
        <f t="shared" si="13"/>
        <v>0</v>
      </c>
      <c r="O123" s="152"/>
      <c r="P123" s="152"/>
      <c r="Q123" s="152"/>
      <c r="R123" s="152"/>
      <c r="S123" s="153"/>
    </row>
    <row r="124" spans="1:19">
      <c r="A124" s="58"/>
      <c r="B124" s="58"/>
      <c r="C124" s="131">
        <f t="shared" si="23"/>
        <v>41788</v>
      </c>
      <c r="D124" s="43"/>
      <c r="E124" s="44"/>
      <c r="F124" s="36">
        <f t="shared" si="21"/>
        <v>0</v>
      </c>
      <c r="G124" s="37">
        <f t="shared" si="15"/>
        <v>0</v>
      </c>
      <c r="H124" s="114" t="str">
        <f t="shared" si="22"/>
        <v>0</v>
      </c>
      <c r="I124" s="114" t="str">
        <f t="shared" si="20"/>
        <v>0</v>
      </c>
      <c r="J124" s="32"/>
      <c r="K124" s="33">
        <f t="shared" si="19"/>
        <v>45.856342987913138</v>
      </c>
      <c r="L124" s="33">
        <f t="shared" si="16"/>
        <v>37.89942321561611</v>
      </c>
      <c r="M124" s="33">
        <f t="shared" si="17"/>
        <v>41.946818364596908</v>
      </c>
      <c r="N124" s="118" t="str">
        <f t="shared" si="13"/>
        <v>0</v>
      </c>
      <c r="O124" s="152"/>
      <c r="P124" s="152"/>
      <c r="Q124" s="152"/>
      <c r="R124" s="152"/>
      <c r="S124" s="153"/>
    </row>
    <row r="125" spans="1:19">
      <c r="A125" s="58"/>
      <c r="B125" s="58"/>
      <c r="C125" s="131">
        <f t="shared" si="23"/>
        <v>41795</v>
      </c>
      <c r="D125" s="34"/>
      <c r="E125" s="35"/>
      <c r="F125" s="36">
        <f t="shared" si="21"/>
        <v>0</v>
      </c>
      <c r="G125" s="37">
        <f t="shared" si="15"/>
        <v>0</v>
      </c>
      <c r="H125" s="114" t="str">
        <f t="shared" si="22"/>
        <v>0</v>
      </c>
      <c r="I125" s="114" t="str">
        <f t="shared" si="20"/>
        <v>0</v>
      </c>
      <c r="J125" s="40"/>
      <c r="K125" s="33">
        <f t="shared" si="19"/>
        <v>45.856342987913138</v>
      </c>
      <c r="L125" s="33">
        <f t="shared" si="16"/>
        <v>37.89942321561611</v>
      </c>
      <c r="M125" s="33">
        <f t="shared" si="17"/>
        <v>41.946818364596908</v>
      </c>
      <c r="N125" s="118" t="str">
        <f t="shared" si="13"/>
        <v>0</v>
      </c>
      <c r="O125" s="147"/>
      <c r="P125" s="147"/>
      <c r="Q125" s="147"/>
      <c r="R125" s="147"/>
      <c r="S125" s="148"/>
    </row>
    <row r="126" spans="1:19">
      <c r="A126" s="58"/>
      <c r="B126" s="58"/>
      <c r="C126" s="131">
        <f t="shared" si="23"/>
        <v>41802</v>
      </c>
      <c r="D126" s="34"/>
      <c r="E126" s="35"/>
      <c r="F126" s="36">
        <f t="shared" si="21"/>
        <v>0</v>
      </c>
      <c r="G126" s="37">
        <f t="shared" si="15"/>
        <v>0</v>
      </c>
      <c r="H126" s="114" t="str">
        <f t="shared" si="22"/>
        <v>0</v>
      </c>
      <c r="I126" s="114" t="str">
        <f t="shared" si="20"/>
        <v>0</v>
      </c>
      <c r="J126" s="40"/>
      <c r="K126" s="33">
        <f t="shared" si="19"/>
        <v>45.856342987913138</v>
      </c>
      <c r="L126" s="33">
        <f t="shared" si="16"/>
        <v>37.89942321561611</v>
      </c>
      <c r="M126" s="33">
        <f t="shared" si="17"/>
        <v>41.946818364596908</v>
      </c>
      <c r="N126" s="118" t="str">
        <f t="shared" si="13"/>
        <v>0</v>
      </c>
      <c r="O126" s="147"/>
      <c r="P126" s="147"/>
      <c r="Q126" s="147"/>
      <c r="R126" s="147"/>
      <c r="S126" s="148"/>
    </row>
    <row r="127" spans="1:19">
      <c r="A127" s="58"/>
      <c r="B127" s="58"/>
      <c r="C127" s="131">
        <f t="shared" si="23"/>
        <v>41809</v>
      </c>
      <c r="D127" s="34"/>
      <c r="E127" s="35"/>
      <c r="F127" s="36">
        <f t="shared" si="21"/>
        <v>0</v>
      </c>
      <c r="G127" s="37">
        <f t="shared" si="15"/>
        <v>0</v>
      </c>
      <c r="H127" s="114" t="str">
        <f t="shared" si="22"/>
        <v>0</v>
      </c>
      <c r="I127" s="114" t="str">
        <f t="shared" si="20"/>
        <v>0</v>
      </c>
      <c r="J127" s="40"/>
      <c r="K127" s="33">
        <f t="shared" si="19"/>
        <v>45.856342987913138</v>
      </c>
      <c r="L127" s="33">
        <f t="shared" si="16"/>
        <v>37.89942321561611</v>
      </c>
      <c r="M127" s="33">
        <f t="shared" si="17"/>
        <v>41.946818364596908</v>
      </c>
      <c r="N127" s="118" t="str">
        <f t="shared" si="13"/>
        <v>0</v>
      </c>
      <c r="O127" s="147"/>
      <c r="P127" s="147"/>
      <c r="Q127" s="147"/>
      <c r="R127" s="147"/>
      <c r="S127" s="148"/>
    </row>
    <row r="128" spans="1:19">
      <c r="A128" s="58"/>
      <c r="B128" s="58"/>
      <c r="C128" s="131">
        <f t="shared" si="23"/>
        <v>41816</v>
      </c>
      <c r="D128" s="34"/>
      <c r="E128" s="35"/>
      <c r="F128" s="36">
        <f t="shared" si="21"/>
        <v>0</v>
      </c>
      <c r="G128" s="37">
        <f t="shared" si="15"/>
        <v>0</v>
      </c>
      <c r="H128" s="114" t="str">
        <f t="shared" si="22"/>
        <v>0</v>
      </c>
      <c r="I128" s="114" t="str">
        <f t="shared" si="20"/>
        <v>0</v>
      </c>
      <c r="J128" s="40"/>
      <c r="K128" s="33">
        <f t="shared" si="19"/>
        <v>45.856342987913138</v>
      </c>
      <c r="L128" s="33">
        <f t="shared" si="16"/>
        <v>37.89942321561611</v>
      </c>
      <c r="M128" s="33">
        <f t="shared" si="17"/>
        <v>41.946818364596908</v>
      </c>
      <c r="N128" s="118" t="str">
        <f t="shared" si="13"/>
        <v>0</v>
      </c>
      <c r="O128" s="147"/>
      <c r="P128" s="147"/>
      <c r="Q128" s="147"/>
      <c r="R128" s="147"/>
      <c r="S128" s="148"/>
    </row>
    <row r="129" spans="1:19">
      <c r="A129" s="58"/>
      <c r="B129" s="58"/>
      <c r="C129" s="131">
        <f t="shared" si="23"/>
        <v>41823</v>
      </c>
      <c r="D129" s="43"/>
      <c r="E129" s="44"/>
      <c r="F129" s="36">
        <f t="shared" si="21"/>
        <v>0</v>
      </c>
      <c r="G129" s="37">
        <f t="shared" si="15"/>
        <v>0</v>
      </c>
      <c r="H129" s="114" t="str">
        <f t="shared" si="22"/>
        <v>0</v>
      </c>
      <c r="I129" s="114" t="str">
        <f t="shared" si="20"/>
        <v>0</v>
      </c>
      <c r="J129" s="32"/>
      <c r="K129" s="33">
        <f t="shared" si="19"/>
        <v>45.856342987913138</v>
      </c>
      <c r="L129" s="33">
        <f t="shared" si="16"/>
        <v>37.89942321561611</v>
      </c>
      <c r="M129" s="33">
        <f t="shared" si="17"/>
        <v>41.946818364596908</v>
      </c>
      <c r="N129" s="118" t="str">
        <f t="shared" si="13"/>
        <v>0</v>
      </c>
      <c r="O129" s="152"/>
      <c r="P129" s="152"/>
      <c r="Q129" s="152"/>
      <c r="R129" s="152"/>
      <c r="S129" s="153"/>
    </row>
    <row r="130" spans="1:19">
      <c r="A130" s="58"/>
      <c r="B130" s="58"/>
      <c r="C130" s="131">
        <f t="shared" si="23"/>
        <v>41830</v>
      </c>
      <c r="D130" s="43"/>
      <c r="E130" s="44"/>
      <c r="F130" s="36">
        <f t="shared" si="21"/>
        <v>0</v>
      </c>
      <c r="G130" s="37">
        <f t="shared" si="15"/>
        <v>0</v>
      </c>
      <c r="H130" s="114" t="str">
        <f t="shared" si="22"/>
        <v>0</v>
      </c>
      <c r="I130" s="114" t="str">
        <f t="shared" si="20"/>
        <v>0</v>
      </c>
      <c r="J130" s="32"/>
      <c r="K130" s="33">
        <f t="shared" si="19"/>
        <v>45.856342987913138</v>
      </c>
      <c r="L130" s="33">
        <f t="shared" si="16"/>
        <v>37.89942321561611</v>
      </c>
      <c r="M130" s="33">
        <f t="shared" si="17"/>
        <v>41.946818364596908</v>
      </c>
      <c r="N130" s="118" t="str">
        <f t="shared" si="13"/>
        <v>0</v>
      </c>
      <c r="O130" s="152"/>
      <c r="P130" s="152"/>
      <c r="Q130" s="152"/>
      <c r="R130" s="152"/>
      <c r="S130" s="153"/>
    </row>
    <row r="131" spans="1:19">
      <c r="A131" s="58"/>
      <c r="B131" s="58"/>
      <c r="C131" s="131">
        <f t="shared" si="23"/>
        <v>41837</v>
      </c>
      <c r="D131" s="43"/>
      <c r="E131" s="44"/>
      <c r="F131" s="36">
        <f t="shared" si="21"/>
        <v>0</v>
      </c>
      <c r="G131" s="37">
        <f t="shared" si="15"/>
        <v>0</v>
      </c>
      <c r="H131" s="114" t="str">
        <f t="shared" si="22"/>
        <v>0</v>
      </c>
      <c r="I131" s="114" t="str">
        <f t="shared" si="20"/>
        <v>0</v>
      </c>
      <c r="J131" s="32"/>
      <c r="K131" s="33">
        <f t="shared" si="19"/>
        <v>45.856342987913138</v>
      </c>
      <c r="L131" s="33">
        <f t="shared" si="16"/>
        <v>37.89942321561611</v>
      </c>
      <c r="M131" s="33">
        <f t="shared" si="17"/>
        <v>41.946818364596908</v>
      </c>
      <c r="N131" s="118" t="str">
        <f t="shared" si="13"/>
        <v>0</v>
      </c>
      <c r="O131" s="152"/>
      <c r="P131" s="152"/>
      <c r="Q131" s="152"/>
      <c r="R131" s="152"/>
      <c r="S131" s="153"/>
    </row>
    <row r="132" spans="1:19">
      <c r="A132" s="58"/>
      <c r="B132" s="58"/>
      <c r="C132" s="131">
        <f t="shared" si="23"/>
        <v>41844</v>
      </c>
      <c r="D132" s="34"/>
      <c r="E132" s="35"/>
      <c r="F132" s="36">
        <f t="shared" si="21"/>
        <v>0</v>
      </c>
      <c r="G132" s="37">
        <f t="shared" si="15"/>
        <v>0</v>
      </c>
      <c r="H132" s="114" t="str">
        <f t="shared" si="22"/>
        <v>0</v>
      </c>
      <c r="I132" s="114" t="str">
        <f t="shared" si="20"/>
        <v>0</v>
      </c>
      <c r="J132" s="40"/>
      <c r="K132" s="33">
        <f t="shared" si="19"/>
        <v>45.856342987913138</v>
      </c>
      <c r="L132" s="33">
        <f t="shared" si="16"/>
        <v>37.89942321561611</v>
      </c>
      <c r="M132" s="33">
        <f t="shared" si="17"/>
        <v>41.946818364596908</v>
      </c>
      <c r="N132" s="118" t="str">
        <f t="shared" si="13"/>
        <v>0</v>
      </c>
      <c r="O132" s="147"/>
      <c r="P132" s="147"/>
      <c r="Q132" s="147"/>
      <c r="R132" s="147"/>
      <c r="S132" s="148"/>
    </row>
    <row r="133" spans="1:19">
      <c r="A133" s="58"/>
      <c r="B133" s="58"/>
      <c r="C133" s="131">
        <f t="shared" si="23"/>
        <v>41851</v>
      </c>
      <c r="D133" s="34"/>
      <c r="E133" s="35"/>
      <c r="F133" s="36">
        <f t="shared" si="21"/>
        <v>0</v>
      </c>
      <c r="G133" s="37">
        <f t="shared" si="15"/>
        <v>0</v>
      </c>
      <c r="H133" s="114" t="str">
        <f t="shared" si="22"/>
        <v>0</v>
      </c>
      <c r="I133" s="114" t="str">
        <f t="shared" si="20"/>
        <v>0</v>
      </c>
      <c r="J133" s="40"/>
      <c r="K133" s="33">
        <f t="shared" si="19"/>
        <v>45.856342987913138</v>
      </c>
      <c r="L133" s="33">
        <f t="shared" si="16"/>
        <v>37.89942321561611</v>
      </c>
      <c r="M133" s="33">
        <f t="shared" si="17"/>
        <v>41.946818364596908</v>
      </c>
      <c r="N133" s="118" t="str">
        <f>IF($D133=0,"0",ROUNDUP(((G133/H133)+SUM($J$8:$J$201)/SUM($H$8:$H$201)),2))</f>
        <v>0</v>
      </c>
      <c r="O133" s="147"/>
      <c r="P133" s="147"/>
      <c r="Q133" s="147"/>
      <c r="R133" s="147"/>
      <c r="S133" s="148"/>
    </row>
    <row r="134" spans="1:19">
      <c r="A134" s="58"/>
      <c r="B134" s="58"/>
      <c r="C134" s="131">
        <f t="shared" si="23"/>
        <v>41858</v>
      </c>
      <c r="D134" s="34"/>
      <c r="E134" s="35"/>
      <c r="F134" s="36">
        <f t="shared" si="21"/>
        <v>0</v>
      </c>
      <c r="G134" s="37">
        <f t="shared" si="15"/>
        <v>0</v>
      </c>
      <c r="H134" s="114" t="str">
        <f t="shared" si="22"/>
        <v>0</v>
      </c>
      <c r="I134" s="114" t="str">
        <f t="shared" si="20"/>
        <v>0</v>
      </c>
      <c r="J134" s="40"/>
      <c r="K134" s="33">
        <f t="shared" si="19"/>
        <v>45.856342987913138</v>
      </c>
      <c r="L134" s="33">
        <f t="shared" si="16"/>
        <v>37.89942321561611</v>
      </c>
      <c r="M134" s="33">
        <f t="shared" si="17"/>
        <v>41.946818364596908</v>
      </c>
      <c r="N134" s="118" t="str">
        <f>IF($D134=0,"0",ROUNDUP(((G134/H134)+SUM($J$8:$J$201)/SUM($H$8:$H$201)),2))</f>
        <v>0</v>
      </c>
      <c r="O134" s="147"/>
      <c r="P134" s="147"/>
      <c r="Q134" s="147"/>
      <c r="R134" s="147"/>
      <c r="S134" s="148"/>
    </row>
    <row r="135" spans="1:19">
      <c r="A135" s="58"/>
      <c r="B135" s="58"/>
      <c r="C135" s="132">
        <f t="shared" si="23"/>
        <v>41865</v>
      </c>
      <c r="D135" s="34"/>
      <c r="E135" s="35"/>
      <c r="F135" s="36">
        <f t="shared" si="21"/>
        <v>0</v>
      </c>
      <c r="G135" s="37">
        <f t="shared" si="15"/>
        <v>0</v>
      </c>
      <c r="H135" s="114" t="str">
        <f t="shared" si="22"/>
        <v>0</v>
      </c>
      <c r="I135" s="114" t="str">
        <f t="shared" si="20"/>
        <v>0</v>
      </c>
      <c r="J135" s="40"/>
      <c r="K135" s="33">
        <f t="shared" si="19"/>
        <v>45.856342987913138</v>
      </c>
      <c r="L135" s="33">
        <f t="shared" si="16"/>
        <v>37.89942321561611</v>
      </c>
      <c r="M135" s="33">
        <f t="shared" si="17"/>
        <v>41.946818364596908</v>
      </c>
      <c r="N135" s="118" t="str">
        <f>IF($D135=0,"0",ROUNDUP(((G135/H135)+SUM($J$8:$J$201)/SUM($H$8:$H$201)),2))</f>
        <v>0</v>
      </c>
      <c r="O135" s="147"/>
      <c r="P135" s="147"/>
      <c r="Q135" s="147"/>
      <c r="R135" s="147"/>
      <c r="S135" s="148"/>
    </row>
    <row r="136" spans="1:19">
      <c r="A136" s="58"/>
      <c r="B136" s="58"/>
      <c r="C136" s="133">
        <f t="shared" si="23"/>
        <v>41872</v>
      </c>
      <c r="D136" s="43"/>
      <c r="E136" s="44"/>
      <c r="F136" s="36">
        <f t="shared" si="21"/>
        <v>0</v>
      </c>
      <c r="G136" s="37">
        <f t="shared" ref="G136:G138" si="24">ROUND(E136*A136,0)-ROUND(E136*B136,0)</f>
        <v>0</v>
      </c>
      <c r="H136" s="114" t="str">
        <f t="shared" si="22"/>
        <v>0</v>
      </c>
      <c r="I136" s="114" t="str">
        <f t="shared" si="20"/>
        <v>0</v>
      </c>
      <c r="J136" s="32"/>
      <c r="K136" s="33">
        <f t="shared" si="19"/>
        <v>45.856342987913138</v>
      </c>
      <c r="L136" s="33">
        <f>$O$3</f>
        <v>37.89942321561611</v>
      </c>
      <c r="M136" s="33">
        <f>$P$3</f>
        <v>41.946818364596908</v>
      </c>
      <c r="N136" s="118" t="str">
        <f t="shared" ref="N136:N138" si="25">IF($D136=0,"0",ROUNDUP(((G136/H136)+SUM($J$8:$J$201)/SUM($H$8:$H$201)),2))</f>
        <v>0</v>
      </c>
      <c r="O136" s="152"/>
      <c r="P136" s="152"/>
      <c r="Q136" s="152"/>
      <c r="R136" s="152"/>
      <c r="S136" s="153"/>
    </row>
    <row r="137" spans="1:19">
      <c r="A137" s="58"/>
      <c r="B137" s="58"/>
      <c r="C137" s="133">
        <f t="shared" ref="C137:C138" si="26">C136+7</f>
        <v>41879</v>
      </c>
      <c r="D137" s="43"/>
      <c r="E137" s="44"/>
      <c r="F137" s="36">
        <f t="shared" si="21"/>
        <v>0</v>
      </c>
      <c r="G137" s="37">
        <f t="shared" si="24"/>
        <v>0</v>
      </c>
      <c r="H137" s="114" t="str">
        <f t="shared" si="22"/>
        <v>0</v>
      </c>
      <c r="I137" s="114" t="str">
        <f t="shared" si="20"/>
        <v>0</v>
      </c>
      <c r="J137" s="32"/>
      <c r="K137" s="33">
        <f t="shared" ref="K137:K138" si="27">$J$3</f>
        <v>45.856342987913138</v>
      </c>
      <c r="L137" s="33">
        <f>$O$3</f>
        <v>37.89942321561611</v>
      </c>
      <c r="M137" s="33">
        <f>$P$3</f>
        <v>41.946818364596908</v>
      </c>
      <c r="N137" s="118" t="str">
        <f t="shared" si="25"/>
        <v>0</v>
      </c>
      <c r="O137" s="152"/>
      <c r="P137" s="152"/>
      <c r="Q137" s="152"/>
      <c r="R137" s="152"/>
      <c r="S137" s="153"/>
    </row>
    <row r="138" spans="1:19" ht="16.5" thickBot="1">
      <c r="A138" s="59"/>
      <c r="B138" s="59"/>
      <c r="C138" s="134">
        <f t="shared" si="26"/>
        <v>41886</v>
      </c>
      <c r="D138" s="45"/>
      <c r="E138" s="46"/>
      <c r="F138" s="47">
        <f t="shared" si="21"/>
        <v>0</v>
      </c>
      <c r="G138" s="48">
        <f t="shared" si="24"/>
        <v>0</v>
      </c>
      <c r="H138" s="117" t="str">
        <f t="shared" si="22"/>
        <v>0</v>
      </c>
      <c r="I138" s="117" t="str">
        <f t="shared" si="20"/>
        <v>0</v>
      </c>
      <c r="J138" s="49"/>
      <c r="K138" s="50">
        <f t="shared" si="27"/>
        <v>45.856342987913138</v>
      </c>
      <c r="L138" s="50">
        <f>$O$3</f>
        <v>37.89942321561611</v>
      </c>
      <c r="M138" s="50">
        <f>$P$3</f>
        <v>41.946818364596908</v>
      </c>
      <c r="N138" s="121" t="str">
        <f t="shared" si="25"/>
        <v>0</v>
      </c>
      <c r="O138" s="154"/>
      <c r="P138" s="154"/>
      <c r="Q138" s="154"/>
      <c r="R138" s="154"/>
      <c r="S138" s="155"/>
    </row>
    <row r="139" spans="1:19">
      <c r="C139" s="9"/>
      <c r="E139" s="5"/>
      <c r="H139" s="3"/>
      <c r="I139" s="3"/>
    </row>
    <row r="140" spans="1:19">
      <c r="C140" s="9"/>
      <c r="E140" s="5"/>
      <c r="H140" s="3"/>
      <c r="I140" s="3"/>
    </row>
    <row r="141" spans="1:19">
      <c r="C141" s="9"/>
      <c r="E141" s="5"/>
      <c r="H141" s="3"/>
      <c r="I141" s="3"/>
    </row>
    <row r="142" spans="1:19">
      <c r="C142" s="9"/>
      <c r="E142" s="5"/>
      <c r="H142" s="3"/>
      <c r="I142" s="3"/>
    </row>
    <row r="143" spans="1:19">
      <c r="C143" s="9"/>
      <c r="E143" s="5"/>
      <c r="H143" s="3"/>
      <c r="I143" s="3"/>
    </row>
    <row r="144" spans="1:19">
      <c r="C144" s="9"/>
      <c r="E144" s="5"/>
      <c r="H144" s="3"/>
      <c r="I144" s="3"/>
    </row>
    <row r="145" spans="3:9">
      <c r="C145" s="9"/>
      <c r="E145" s="5"/>
      <c r="H145" s="3"/>
      <c r="I145" s="3"/>
    </row>
    <row r="146" spans="3:9">
      <c r="C146" s="9"/>
      <c r="E146" s="5"/>
      <c r="H146" s="3"/>
      <c r="I146" s="3"/>
    </row>
    <row r="147" spans="3:9">
      <c r="C147" s="9"/>
      <c r="E147" s="5"/>
      <c r="H147" s="3"/>
      <c r="I147" s="3"/>
    </row>
    <row r="148" spans="3:9">
      <c r="C148" s="9"/>
      <c r="E148" s="5"/>
      <c r="H148" s="3"/>
      <c r="I148" s="3"/>
    </row>
    <row r="149" spans="3:9">
      <c r="C149" s="9"/>
      <c r="E149" s="5"/>
      <c r="H149" s="3"/>
      <c r="I149" s="3"/>
    </row>
    <row r="150" spans="3:9">
      <c r="C150" s="9"/>
      <c r="E150" s="5"/>
      <c r="H150" s="3"/>
      <c r="I150" s="3"/>
    </row>
    <row r="151" spans="3:9">
      <c r="C151" s="9"/>
      <c r="E151" s="5"/>
      <c r="H151" s="3"/>
      <c r="I151" s="3"/>
    </row>
    <row r="152" spans="3:9">
      <c r="C152" s="9"/>
      <c r="E152" s="5"/>
      <c r="H152" s="3"/>
      <c r="I152" s="3"/>
    </row>
    <row r="153" spans="3:9">
      <c r="C153" s="9"/>
      <c r="E153" s="5"/>
      <c r="H153" s="3"/>
      <c r="I153" s="3"/>
    </row>
    <row r="154" spans="3:9">
      <c r="C154" s="9"/>
      <c r="E154" s="5"/>
      <c r="H154" s="3"/>
      <c r="I154" s="3"/>
    </row>
    <row r="155" spans="3:9">
      <c r="C155" s="9"/>
      <c r="E155" s="5"/>
      <c r="H155" s="3"/>
      <c r="I155" s="3"/>
    </row>
    <row r="156" spans="3:9">
      <c r="C156" s="9"/>
      <c r="E156" s="5"/>
      <c r="H156" s="3"/>
      <c r="I156" s="3"/>
    </row>
    <row r="157" spans="3:9">
      <c r="C157" s="9"/>
      <c r="E157" s="5"/>
      <c r="H157" s="3"/>
      <c r="I157" s="3"/>
    </row>
    <row r="158" spans="3:9">
      <c r="C158" s="9"/>
      <c r="E158" s="5"/>
      <c r="H158" s="3"/>
      <c r="I158" s="3"/>
    </row>
    <row r="159" spans="3:9">
      <c r="C159" s="9"/>
      <c r="E159" s="5"/>
      <c r="H159" s="3"/>
      <c r="I159" s="3"/>
    </row>
    <row r="160" spans="3:9">
      <c r="C160" s="9"/>
      <c r="E160" s="5"/>
      <c r="H160" s="3"/>
      <c r="I160" s="3"/>
    </row>
    <row r="161" spans="3:9">
      <c r="C161" s="9"/>
      <c r="E161" s="5"/>
      <c r="H161" s="3"/>
      <c r="I161" s="3"/>
    </row>
    <row r="162" spans="3:9">
      <c r="C162" s="9"/>
      <c r="E162" s="5"/>
      <c r="H162" s="3"/>
      <c r="I162" s="3"/>
    </row>
    <row r="163" spans="3:9">
      <c r="C163" s="9"/>
      <c r="E163" s="5"/>
      <c r="H163" s="3"/>
      <c r="I163" s="3"/>
    </row>
    <row r="164" spans="3:9">
      <c r="C164" s="9"/>
      <c r="E164" s="5"/>
      <c r="H164" s="3"/>
      <c r="I164" s="3"/>
    </row>
    <row r="165" spans="3:9">
      <c r="C165" s="9"/>
      <c r="E165" s="5"/>
      <c r="H165" s="3"/>
      <c r="I165" s="3"/>
    </row>
    <row r="166" spans="3:9">
      <c r="C166" s="9"/>
      <c r="E166" s="5"/>
      <c r="H166" s="3"/>
      <c r="I166" s="3"/>
    </row>
    <row r="167" spans="3:9">
      <c r="C167" s="9"/>
      <c r="E167" s="5"/>
      <c r="H167" s="3"/>
      <c r="I167" s="3"/>
    </row>
    <row r="168" spans="3:9">
      <c r="C168" s="9"/>
      <c r="E168" s="5"/>
      <c r="H168" s="3"/>
      <c r="I168" s="3"/>
    </row>
    <row r="169" spans="3:9">
      <c r="C169" s="9"/>
      <c r="E169" s="5"/>
      <c r="H169" s="3"/>
      <c r="I169" s="3"/>
    </row>
    <row r="170" spans="3:9">
      <c r="C170" s="9"/>
      <c r="E170" s="5"/>
      <c r="H170" s="3"/>
      <c r="I170" s="3"/>
    </row>
    <row r="171" spans="3:9">
      <c r="C171" s="9"/>
      <c r="E171" s="5"/>
      <c r="H171" s="3"/>
      <c r="I171" s="3"/>
    </row>
    <row r="172" spans="3:9">
      <c r="C172" s="9"/>
      <c r="E172" s="5"/>
      <c r="H172" s="3"/>
      <c r="I172" s="3"/>
    </row>
    <row r="173" spans="3:9">
      <c r="C173" s="9"/>
      <c r="E173" s="5"/>
      <c r="H173" s="3"/>
      <c r="I173" s="3"/>
    </row>
    <row r="174" spans="3:9">
      <c r="C174" s="9"/>
      <c r="E174" s="5"/>
      <c r="H174" s="3"/>
      <c r="I174" s="3"/>
    </row>
    <row r="175" spans="3:9">
      <c r="C175" s="9"/>
      <c r="E175" s="5"/>
      <c r="H175" s="3"/>
      <c r="I175" s="3"/>
    </row>
    <row r="176" spans="3:9">
      <c r="C176" s="9"/>
      <c r="E176" s="5"/>
      <c r="H176" s="3"/>
      <c r="I176" s="3"/>
    </row>
    <row r="177" spans="3:9">
      <c r="C177" s="9"/>
      <c r="E177" s="5"/>
      <c r="H177" s="3"/>
      <c r="I177" s="3"/>
    </row>
    <row r="178" spans="3:9">
      <c r="C178" s="9"/>
      <c r="E178" s="5"/>
      <c r="H178" s="3"/>
      <c r="I178" s="3"/>
    </row>
    <row r="179" spans="3:9">
      <c r="C179" s="9"/>
      <c r="E179" s="5"/>
      <c r="H179" s="3"/>
      <c r="I179" s="3"/>
    </row>
    <row r="180" spans="3:9">
      <c r="C180" s="9"/>
      <c r="E180" s="5"/>
      <c r="H180" s="3"/>
      <c r="I180" s="3"/>
    </row>
    <row r="181" spans="3:9">
      <c r="C181" s="9"/>
      <c r="E181" s="5"/>
      <c r="H181" s="3"/>
      <c r="I181" s="3"/>
    </row>
    <row r="182" spans="3:9">
      <c r="C182" s="9"/>
      <c r="E182" s="5"/>
      <c r="H182" s="3"/>
      <c r="I182" s="3"/>
    </row>
    <row r="183" spans="3:9">
      <c r="C183" s="9"/>
      <c r="E183" s="5"/>
      <c r="H183" s="3"/>
      <c r="I183" s="3"/>
    </row>
    <row r="184" spans="3:9">
      <c r="C184" s="9"/>
      <c r="E184" s="5"/>
      <c r="H184" s="3"/>
      <c r="I184" s="3"/>
    </row>
    <row r="185" spans="3:9">
      <c r="C185" s="9"/>
      <c r="E185" s="5"/>
      <c r="H185" s="3"/>
      <c r="I185" s="3"/>
    </row>
    <row r="186" spans="3:9">
      <c r="C186" s="9"/>
      <c r="E186" s="5"/>
      <c r="H186" s="3"/>
      <c r="I186" s="3"/>
    </row>
    <row r="187" spans="3:9">
      <c r="C187" s="9"/>
      <c r="E187" s="5"/>
      <c r="H187" s="3"/>
      <c r="I187" s="3"/>
    </row>
    <row r="188" spans="3:9">
      <c r="C188" s="9"/>
      <c r="E188" s="5"/>
      <c r="H188" s="3"/>
      <c r="I188" s="3"/>
    </row>
    <row r="189" spans="3:9">
      <c r="C189" s="9"/>
      <c r="E189" s="5"/>
      <c r="H189" s="3"/>
      <c r="I189" s="3"/>
    </row>
    <row r="190" spans="3:9">
      <c r="C190" s="9"/>
      <c r="E190" s="5"/>
      <c r="H190" s="3"/>
      <c r="I190" s="3"/>
    </row>
    <row r="191" spans="3:9">
      <c r="C191" s="9"/>
      <c r="E191" s="5"/>
      <c r="H191" s="3"/>
      <c r="I191" s="3"/>
    </row>
    <row r="192" spans="3:9">
      <c r="C192" s="9"/>
      <c r="E192" s="5"/>
      <c r="H192" s="3"/>
      <c r="I192" s="3"/>
    </row>
    <row r="193" spans="3:9">
      <c r="C193" s="9"/>
      <c r="E193" s="5"/>
      <c r="H193" s="3"/>
      <c r="I193" s="3"/>
    </row>
    <row r="194" spans="3:9">
      <c r="C194" s="9"/>
      <c r="E194" s="5"/>
      <c r="H194" s="3"/>
      <c r="I194" s="3"/>
    </row>
    <row r="195" spans="3:9">
      <c r="C195" s="9"/>
      <c r="E195" s="5"/>
      <c r="H195" s="3"/>
      <c r="I195" s="3"/>
    </row>
    <row r="196" spans="3:9">
      <c r="C196" s="9"/>
      <c r="E196" s="5"/>
      <c r="H196" s="3"/>
      <c r="I196" s="3"/>
    </row>
    <row r="197" spans="3:9">
      <c r="C197" s="9"/>
      <c r="E197" s="5"/>
      <c r="H197" s="3"/>
      <c r="I197" s="3"/>
    </row>
    <row r="198" spans="3:9">
      <c r="C198" s="9"/>
      <c r="E198" s="5"/>
      <c r="H198" s="3"/>
      <c r="I198" s="3"/>
    </row>
    <row r="199" spans="3:9">
      <c r="C199" s="9"/>
      <c r="E199" s="5"/>
      <c r="H199" s="3"/>
      <c r="I199" s="3"/>
    </row>
    <row r="200" spans="3:9">
      <c r="C200" s="9"/>
      <c r="E200" s="5"/>
      <c r="H200" s="3"/>
      <c r="I200" s="3"/>
    </row>
    <row r="201" spans="3:9">
      <c r="C201" s="9"/>
      <c r="E201" s="5"/>
      <c r="H201" s="3"/>
      <c r="I201" s="3"/>
    </row>
  </sheetData>
  <mergeCells count="137">
    <mergeCell ref="O135:S135"/>
    <mergeCell ref="O136:S136"/>
    <mergeCell ref="O137:S137"/>
    <mergeCell ref="O138:S138"/>
    <mergeCell ref="O130:S130"/>
    <mergeCell ref="O131:S131"/>
    <mergeCell ref="O132:S132"/>
    <mergeCell ref="O133:S133"/>
    <mergeCell ref="O134:S134"/>
    <mergeCell ref="O125:S125"/>
    <mergeCell ref="O126:S126"/>
    <mergeCell ref="O127:S127"/>
    <mergeCell ref="O128:S128"/>
    <mergeCell ref="O129:S129"/>
    <mergeCell ref="O120:S120"/>
    <mergeCell ref="O121:S121"/>
    <mergeCell ref="O122:S122"/>
    <mergeCell ref="O123:S123"/>
    <mergeCell ref="O124:S124"/>
    <mergeCell ref="O115:S115"/>
    <mergeCell ref="O116:S116"/>
    <mergeCell ref="O117:S117"/>
    <mergeCell ref="O118:S118"/>
    <mergeCell ref="O119:S119"/>
    <mergeCell ref="O110:S110"/>
    <mergeCell ref="O111:S111"/>
    <mergeCell ref="O112:S112"/>
    <mergeCell ref="O113:S113"/>
    <mergeCell ref="O114:S114"/>
    <mergeCell ref="O105:S105"/>
    <mergeCell ref="O106:S106"/>
    <mergeCell ref="O107:S107"/>
    <mergeCell ref="O108:S108"/>
    <mergeCell ref="O109:S109"/>
    <mergeCell ref="O100:S100"/>
    <mergeCell ref="O101:S101"/>
    <mergeCell ref="O102:S102"/>
    <mergeCell ref="O103:S103"/>
    <mergeCell ref="O104:S104"/>
    <mergeCell ref="O95:S95"/>
    <mergeCell ref="O96:S96"/>
    <mergeCell ref="O97:S97"/>
    <mergeCell ref="O98:S98"/>
    <mergeCell ref="O99:S99"/>
    <mergeCell ref="O90:S90"/>
    <mergeCell ref="O91:S91"/>
    <mergeCell ref="O92:S92"/>
    <mergeCell ref="O93:S93"/>
    <mergeCell ref="O94:S94"/>
    <mergeCell ref="O85:S85"/>
    <mergeCell ref="O86:S86"/>
    <mergeCell ref="O87:S87"/>
    <mergeCell ref="O88:S88"/>
    <mergeCell ref="O89:S89"/>
    <mergeCell ref="O80:S80"/>
    <mergeCell ref="O81:S81"/>
    <mergeCell ref="O82:S82"/>
    <mergeCell ref="O83:S83"/>
    <mergeCell ref="O84:S84"/>
    <mergeCell ref="O75:S75"/>
    <mergeCell ref="O76:S76"/>
    <mergeCell ref="O77:S77"/>
    <mergeCell ref="O78:S78"/>
    <mergeCell ref="O79:S79"/>
    <mergeCell ref="O70:S70"/>
    <mergeCell ref="O71:S71"/>
    <mergeCell ref="O72:S72"/>
    <mergeCell ref="O73:S73"/>
    <mergeCell ref="O74:S74"/>
    <mergeCell ref="O65:S65"/>
    <mergeCell ref="O66:S66"/>
    <mergeCell ref="O67:S67"/>
    <mergeCell ref="O68:S68"/>
    <mergeCell ref="O69:S69"/>
    <mergeCell ref="O60:S60"/>
    <mergeCell ref="O61:S61"/>
    <mergeCell ref="O62:S62"/>
    <mergeCell ref="O63:S63"/>
    <mergeCell ref="O64:S64"/>
    <mergeCell ref="O55:S55"/>
    <mergeCell ref="O56:S56"/>
    <mergeCell ref="O57:S57"/>
    <mergeCell ref="O58:S58"/>
    <mergeCell ref="O59:S59"/>
    <mergeCell ref="O50:S50"/>
    <mergeCell ref="O51:S51"/>
    <mergeCell ref="O52:S52"/>
    <mergeCell ref="O53:S53"/>
    <mergeCell ref="O54:S54"/>
    <mergeCell ref="O45:S45"/>
    <mergeCell ref="O46:S46"/>
    <mergeCell ref="O47:S47"/>
    <mergeCell ref="O48:S48"/>
    <mergeCell ref="O49:S49"/>
    <mergeCell ref="O40:S40"/>
    <mergeCell ref="O41:S41"/>
    <mergeCell ref="O42:S42"/>
    <mergeCell ref="O43:S43"/>
    <mergeCell ref="O44:S44"/>
    <mergeCell ref="O35:S35"/>
    <mergeCell ref="O36:S36"/>
    <mergeCell ref="O37:S37"/>
    <mergeCell ref="O38:S38"/>
    <mergeCell ref="O39:S39"/>
    <mergeCell ref="O30:S30"/>
    <mergeCell ref="O31:S31"/>
    <mergeCell ref="O32:S32"/>
    <mergeCell ref="O33:S33"/>
    <mergeCell ref="O34:S34"/>
    <mergeCell ref="O25:S25"/>
    <mergeCell ref="O26:S26"/>
    <mergeCell ref="O27:S27"/>
    <mergeCell ref="O28:S28"/>
    <mergeCell ref="O29:S29"/>
    <mergeCell ref="O20:S20"/>
    <mergeCell ref="O21:S21"/>
    <mergeCell ref="O22:S22"/>
    <mergeCell ref="O23:S23"/>
    <mergeCell ref="O24:S24"/>
    <mergeCell ref="O16:S16"/>
    <mergeCell ref="O17:S17"/>
    <mergeCell ref="O18:S18"/>
    <mergeCell ref="O19:S19"/>
    <mergeCell ref="O10:S10"/>
    <mergeCell ref="O11:S11"/>
    <mergeCell ref="O12:S12"/>
    <mergeCell ref="O13:S13"/>
    <mergeCell ref="O14:S14"/>
    <mergeCell ref="A2:B2"/>
    <mergeCell ref="A3:B3"/>
    <mergeCell ref="C1:O1"/>
    <mergeCell ref="O6:S6"/>
    <mergeCell ref="O7:S7"/>
    <mergeCell ref="O8:S8"/>
    <mergeCell ref="O9:S9"/>
    <mergeCell ref="C5:J5"/>
    <mergeCell ref="O15:S15"/>
  </mergeCells>
  <phoneticPr fontId="1" type="noConversion"/>
  <conditionalFormatting sqref="I7:I138">
    <cfRule type="top10" dxfId="79" priority="67" bottom="1" rank="1"/>
    <cfRule type="top10" dxfId="78" priority="68" rank="1"/>
  </conditionalFormatting>
  <conditionalFormatting sqref="E7:E86">
    <cfRule type="top10" dxfId="77" priority="65" bottom="1" rank="1"/>
    <cfRule type="top10" dxfId="76" priority="66" rank="1"/>
  </conditionalFormatting>
  <conditionalFormatting sqref="H7:H138">
    <cfRule type="top10" dxfId="75" priority="63" bottom="1" rank="1"/>
    <cfRule type="top10" dxfId="74" priority="64" rank="1"/>
  </conditionalFormatting>
  <conditionalFormatting sqref="N7:N138">
    <cfRule type="top10" dxfId="73" priority="61" bottom="1" rank="1"/>
    <cfRule type="top10" dxfId="72" priority="62" rank="1"/>
  </conditionalFormatting>
  <conditionalFormatting sqref="I90:I93">
    <cfRule type="top10" dxfId="71" priority="59" bottom="1" rank="1"/>
    <cfRule type="top10" dxfId="70" priority="60" rank="1"/>
  </conditionalFormatting>
  <conditionalFormatting sqref="E90:E93">
    <cfRule type="top10" dxfId="69" priority="57" bottom="1" rank="1"/>
    <cfRule type="top10" dxfId="68" priority="58" rank="1"/>
  </conditionalFormatting>
  <conditionalFormatting sqref="H90:H93">
    <cfRule type="top10" dxfId="67" priority="55" bottom="1" rank="1"/>
    <cfRule type="top10" dxfId="66" priority="56" rank="1"/>
  </conditionalFormatting>
  <conditionalFormatting sqref="N90:N106">
    <cfRule type="top10" dxfId="65" priority="53" bottom="1" rank="1"/>
    <cfRule type="top10" dxfId="64" priority="54" rank="1"/>
  </conditionalFormatting>
  <conditionalFormatting sqref="I97:I100">
    <cfRule type="top10" dxfId="63" priority="51" bottom="1" rank="1"/>
    <cfRule type="top10" dxfId="62" priority="52" rank="1"/>
  </conditionalFormatting>
  <conditionalFormatting sqref="E97:E100">
    <cfRule type="top10" dxfId="61" priority="49" bottom="1" rank="1"/>
    <cfRule type="top10" dxfId="60" priority="50" rank="1"/>
  </conditionalFormatting>
  <conditionalFormatting sqref="H97:H100">
    <cfRule type="top10" dxfId="59" priority="47" bottom="1" rank="1"/>
    <cfRule type="top10" dxfId="58" priority="48" rank="1"/>
  </conditionalFormatting>
  <conditionalFormatting sqref="N97:N100">
    <cfRule type="top10" dxfId="57" priority="45" bottom="1" rank="1"/>
    <cfRule type="top10" dxfId="56" priority="46" rank="1"/>
  </conditionalFormatting>
  <conditionalFormatting sqref="I104:I107">
    <cfRule type="top10" dxfId="55" priority="43" bottom="1" rank="1"/>
    <cfRule type="top10" dxfId="54" priority="44" rank="1"/>
  </conditionalFormatting>
  <conditionalFormatting sqref="E104:E107">
    <cfRule type="top10" dxfId="53" priority="41" bottom="1" rank="1"/>
    <cfRule type="top10" dxfId="52" priority="42" rank="1"/>
  </conditionalFormatting>
  <conditionalFormatting sqref="H104:H107">
    <cfRule type="top10" dxfId="51" priority="39" bottom="1" rank="1"/>
    <cfRule type="top10" dxfId="50" priority="40" rank="1"/>
  </conditionalFormatting>
  <conditionalFormatting sqref="N104:N107">
    <cfRule type="top10" dxfId="49" priority="37" bottom="1" rank="1"/>
    <cfRule type="top10" dxfId="48" priority="38" rank="1"/>
  </conditionalFormatting>
  <conditionalFormatting sqref="I111:I114">
    <cfRule type="top10" dxfId="47" priority="35" bottom="1" rank="1"/>
    <cfRule type="top10" dxfId="46" priority="36" rank="1"/>
  </conditionalFormatting>
  <conditionalFormatting sqref="E111:E114">
    <cfRule type="top10" dxfId="45" priority="33" bottom="1" rank="1"/>
    <cfRule type="top10" dxfId="44" priority="34" rank="1"/>
  </conditionalFormatting>
  <conditionalFormatting sqref="H111:H114">
    <cfRule type="top10" dxfId="43" priority="31" bottom="1" rank="1"/>
    <cfRule type="top10" dxfId="42" priority="32" rank="1"/>
  </conditionalFormatting>
  <conditionalFormatting sqref="N111:N114">
    <cfRule type="top10" dxfId="41" priority="29" bottom="1" rank="1"/>
    <cfRule type="top10" dxfId="40" priority="30" rank="1"/>
  </conditionalFormatting>
  <conditionalFormatting sqref="I118:I121">
    <cfRule type="top10" dxfId="39" priority="27" bottom="1" rank="1"/>
    <cfRule type="top10" dxfId="38" priority="28" rank="1"/>
  </conditionalFormatting>
  <conditionalFormatting sqref="E118:E121">
    <cfRule type="top10" dxfId="37" priority="25" bottom="1" rank="1"/>
    <cfRule type="top10" dxfId="36" priority="26" rank="1"/>
  </conditionalFormatting>
  <conditionalFormatting sqref="H118:H121">
    <cfRule type="top10" dxfId="35" priority="23" bottom="1" rank="1"/>
    <cfRule type="top10" dxfId="34" priority="24" rank="1"/>
  </conditionalFormatting>
  <conditionalFormatting sqref="N118:N121">
    <cfRule type="top10" dxfId="33" priority="21" bottom="1" rank="1"/>
    <cfRule type="top10" dxfId="32" priority="22" rank="1"/>
  </conditionalFormatting>
  <conditionalFormatting sqref="I125:I128">
    <cfRule type="top10" dxfId="31" priority="19" bottom="1" rank="1"/>
    <cfRule type="top10" dxfId="30" priority="20" rank="1"/>
  </conditionalFormatting>
  <conditionalFormatting sqref="E125:E128">
    <cfRule type="top10" dxfId="29" priority="17" bottom="1" rank="1"/>
    <cfRule type="top10" dxfId="28" priority="18" rank="1"/>
  </conditionalFormatting>
  <conditionalFormatting sqref="H125:H128">
    <cfRule type="top10" dxfId="27" priority="15" bottom="1" rank="1"/>
    <cfRule type="top10" dxfId="26" priority="16" rank="1"/>
  </conditionalFormatting>
  <conditionalFormatting sqref="N125:N128">
    <cfRule type="top10" dxfId="25" priority="13" bottom="1" rank="1"/>
    <cfRule type="top10" dxfId="24" priority="14" rank="1"/>
  </conditionalFormatting>
  <conditionalFormatting sqref="I132:I135">
    <cfRule type="top10" dxfId="23" priority="11" bottom="1" rank="1"/>
    <cfRule type="top10" dxfId="22" priority="12" rank="1"/>
  </conditionalFormatting>
  <conditionalFormatting sqref="E132:E135">
    <cfRule type="top10" dxfId="21" priority="9" bottom="1" rank="1"/>
    <cfRule type="top10" dxfId="20" priority="10" rank="1"/>
  </conditionalFormatting>
  <conditionalFormatting sqref="H132:H135">
    <cfRule type="top10" dxfId="19" priority="7" bottom="1" rank="1"/>
    <cfRule type="top10" dxfId="18" priority="8" rank="1"/>
  </conditionalFormatting>
  <conditionalFormatting sqref="N132:N138">
    <cfRule type="top10" dxfId="17" priority="5" bottom="1" rank="1"/>
    <cfRule type="top10" dxfId="16" priority="6" rank="1"/>
  </conditionalFormatting>
  <conditionalFormatting sqref="A7:A138">
    <cfRule type="top10" dxfId="15" priority="3" bottom="1" rank="1"/>
    <cfRule type="top10" dxfId="14" priority="4" rank="1"/>
  </conditionalFormatting>
  <conditionalFormatting sqref="B7:B138">
    <cfRule type="top10" dxfId="13" priority="1" bottom="1" rank="1"/>
    <cfRule type="top10" dxfId="12" priority="2" rank="1"/>
  </conditionalFormatting>
  <pageMargins left="0.7" right="0.7" top="0.75" bottom="0.75" header="0.3" footer="0.3"/>
  <pageSetup paperSize="9" orientation="portrait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theme="7" tint="-0.249977111117893"/>
  </sheetPr>
  <dimension ref="A1:U200"/>
  <sheetViews>
    <sheetView workbookViewId="0">
      <pane ySplit="6" topLeftCell="A7" activePane="bottomLeft" state="frozenSplit"/>
      <selection activeCell="B1" sqref="B1"/>
      <selection pane="bottomLeft" activeCell="C16" sqref="C16"/>
    </sheetView>
  </sheetViews>
  <sheetFormatPr defaultRowHeight="15.75"/>
  <cols>
    <col min="1" max="2" width="7.42578125" style="31" customWidth="1"/>
    <col min="3" max="3" width="11.140625" style="1" customWidth="1"/>
    <col min="4" max="5" width="10.5703125" style="1" customWidth="1"/>
    <col min="6" max="6" width="10.140625" style="1" customWidth="1"/>
    <col min="7" max="7" width="12.28515625" style="1" customWidth="1"/>
    <col min="8" max="8" width="14.140625" style="5" customWidth="1"/>
    <col min="9" max="9" width="13" style="5" customWidth="1"/>
    <col min="10" max="10" width="16.7109375" style="27" customWidth="1"/>
    <col min="11" max="13" width="0.140625" style="1" customWidth="1"/>
    <col min="14" max="14" width="12.140625" style="25" customWidth="1"/>
    <col min="15" max="15" width="12.5703125" style="2" customWidth="1"/>
    <col min="16" max="16" width="14.42578125" style="2" customWidth="1"/>
    <col min="17" max="17" width="10.140625" style="2" customWidth="1"/>
    <col min="18" max="16384" width="9.140625" style="2"/>
  </cols>
  <sheetData>
    <row r="1" spans="1:21" ht="28.5" customHeight="1">
      <c r="C1" s="156" t="s">
        <v>64</v>
      </c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1:21" ht="31.5">
      <c r="A2" s="142" t="s">
        <v>41</v>
      </c>
      <c r="B2" s="142"/>
      <c r="C2" s="83" t="s">
        <v>19</v>
      </c>
      <c r="D2" s="84" t="s">
        <v>25</v>
      </c>
      <c r="E2" s="85" t="s">
        <v>66</v>
      </c>
      <c r="F2" s="86" t="s">
        <v>23</v>
      </c>
      <c r="G2" s="85"/>
      <c r="H2" s="87" t="s">
        <v>67</v>
      </c>
      <c r="I2" s="85" t="s">
        <v>68</v>
      </c>
      <c r="J2" s="124" t="s">
        <v>37</v>
      </c>
      <c r="K2" s="88"/>
      <c r="L2" s="88"/>
      <c r="M2" s="88"/>
      <c r="N2" s="89" t="s">
        <v>46</v>
      </c>
      <c r="O2" s="90" t="s">
        <v>38</v>
      </c>
      <c r="P2" s="91" t="s">
        <v>42</v>
      </c>
    </row>
    <row r="3" spans="1:21">
      <c r="A3" s="143">
        <f>20.3/20.3</f>
        <v>1</v>
      </c>
      <c r="B3" s="143"/>
      <c r="C3" s="93">
        <f>MAX($I4:$I201)</f>
        <v>14.074074074074074</v>
      </c>
      <c r="D3" s="93">
        <f>MIN($I4:$I201)</f>
        <v>7.4285714285714288</v>
      </c>
      <c r="E3" s="93">
        <f>SUM($E7:$E200)</f>
        <v>410.35</v>
      </c>
      <c r="F3" s="94">
        <f>AVERAGEIF(汽車vs機車!R19:R22,"&gt;0")</f>
        <v>1461.5</v>
      </c>
      <c r="G3" s="93"/>
      <c r="H3" s="95">
        <f>SUM(H7:H200)</f>
        <v>3970</v>
      </c>
      <c r="I3" s="96">
        <f>ROUND(($H3/$E3),2)</f>
        <v>9.67</v>
      </c>
      <c r="J3" s="125">
        <f>(LARGE($I7:$I201,1)+LARGE($I7:$I201,2)+LARGE($I7:$I201,3)+LARGE($I7:$I201,4)+LARGE($I7:$I201,5))/5</f>
        <v>12.037037037037036</v>
      </c>
      <c r="K3" s="93"/>
      <c r="L3" s="93"/>
      <c r="M3" s="93"/>
      <c r="N3" s="97">
        <f>AVERAGEIF(N8:N200,"&gt;0")</f>
        <v>3.8115384615384618</v>
      </c>
      <c r="O3" s="93">
        <f>(SMALL($I7:$I201,1)+SMALL($I7:$I201,2)+SMALL($I7:$I201,3)+SMALL($I7:$I201,4)+SMALL($I7:$I201,5))/5</f>
        <v>9.2601916100371842</v>
      </c>
      <c r="P3" s="93">
        <f>AVERAGE(I7:I1000)</f>
        <v>10.557510576018821</v>
      </c>
    </row>
    <row r="4" spans="1:21" ht="5.25" customHeight="1" thickBot="1">
      <c r="A4" s="55"/>
      <c r="B4" s="55"/>
      <c r="C4" s="56"/>
      <c r="D4" s="56"/>
      <c r="E4" s="56"/>
      <c r="F4" s="56"/>
      <c r="G4" s="56"/>
      <c r="H4" s="56"/>
      <c r="I4" s="56"/>
      <c r="J4" s="56"/>
      <c r="K4" s="7"/>
      <c r="L4" s="7"/>
      <c r="M4" s="7"/>
      <c r="N4" s="26"/>
      <c r="O4" s="54"/>
      <c r="P4" s="6"/>
      <c r="Q4" s="6"/>
      <c r="R4" s="6"/>
      <c r="S4" s="6"/>
    </row>
    <row r="5" spans="1:21">
      <c r="A5" s="123">
        <v>95</v>
      </c>
      <c r="B5" s="123">
        <v>95</v>
      </c>
      <c r="C5" s="149" t="s">
        <v>65</v>
      </c>
      <c r="D5" s="149"/>
      <c r="E5" s="149"/>
      <c r="F5" s="149"/>
      <c r="G5" s="149"/>
      <c r="H5" s="149"/>
      <c r="I5" s="149"/>
      <c r="J5" s="149"/>
      <c r="K5" s="103"/>
      <c r="L5" s="103"/>
      <c r="M5" s="103"/>
      <c r="N5" s="104"/>
      <c r="O5" s="105"/>
      <c r="P5" s="105"/>
      <c r="Q5" s="105"/>
      <c r="R5" s="105"/>
      <c r="S5" s="106"/>
    </row>
    <row r="6" spans="1:21" ht="31.5">
      <c r="A6" s="126" t="s">
        <v>43</v>
      </c>
      <c r="B6" s="108" t="s">
        <v>54</v>
      </c>
      <c r="C6" s="122" t="s">
        <v>16</v>
      </c>
      <c r="D6" s="109" t="s">
        <v>8</v>
      </c>
      <c r="E6" s="109" t="s">
        <v>7</v>
      </c>
      <c r="F6" s="110" t="s">
        <v>18</v>
      </c>
      <c r="G6" s="129" t="s">
        <v>20</v>
      </c>
      <c r="H6" s="112" t="s">
        <v>21</v>
      </c>
      <c r="I6" s="112" t="s">
        <v>9</v>
      </c>
      <c r="J6" s="127" t="s">
        <v>24</v>
      </c>
      <c r="K6" s="111"/>
      <c r="L6" s="111"/>
      <c r="M6" s="111"/>
      <c r="N6" s="128"/>
      <c r="O6" s="157" t="s">
        <v>44</v>
      </c>
      <c r="P6" s="157"/>
      <c r="Q6" s="157"/>
      <c r="R6" s="157"/>
      <c r="S6" s="158"/>
      <c r="T6" s="8"/>
      <c r="U6" s="8"/>
    </row>
    <row r="7" spans="1:21">
      <c r="A7" s="58">
        <v>30.5</v>
      </c>
      <c r="B7" s="58">
        <v>2.1</v>
      </c>
      <c r="C7" s="130">
        <v>40179</v>
      </c>
      <c r="D7" s="34">
        <v>10</v>
      </c>
      <c r="E7" s="35">
        <v>30</v>
      </c>
      <c r="F7" s="36">
        <f t="shared" ref="F7:F38" si="0">ROUND(E7*A7,0)</f>
        <v>915</v>
      </c>
      <c r="G7" s="37">
        <f>ROUND(E7*A7,0)-ROUND(E7*B7,0)</f>
        <v>852</v>
      </c>
      <c r="H7" s="114"/>
      <c r="I7" s="114"/>
      <c r="J7" s="51">
        <v>1000</v>
      </c>
      <c r="K7" s="33">
        <f t="shared" ref="K7:K38" si="1">$J$3</f>
        <v>12.037037037037036</v>
      </c>
      <c r="L7" s="33">
        <f>$O$3</f>
        <v>9.2601916100371842</v>
      </c>
      <c r="M7" s="33">
        <f>$P$3</f>
        <v>10.557510576018821</v>
      </c>
      <c r="N7" s="114"/>
      <c r="O7" s="147"/>
      <c r="P7" s="147"/>
      <c r="Q7" s="147"/>
      <c r="R7" s="147"/>
      <c r="S7" s="148"/>
      <c r="T7" s="8"/>
      <c r="U7" s="8"/>
    </row>
    <row r="8" spans="1:21">
      <c r="A8" s="58">
        <v>30.1</v>
      </c>
      <c r="B8" s="58">
        <v>2.5</v>
      </c>
      <c r="C8" s="130">
        <v>40589</v>
      </c>
      <c r="D8" s="34">
        <v>270</v>
      </c>
      <c r="E8" s="39">
        <v>35</v>
      </c>
      <c r="F8" s="36">
        <f t="shared" si="0"/>
        <v>1054</v>
      </c>
      <c r="G8" s="37">
        <f t="shared" ref="G8:G71" si="2">ROUND(E8*A8,0)-ROUND(E8*B8,0)</f>
        <v>966</v>
      </c>
      <c r="H8" s="114">
        <f t="shared" ref="H8:H39" si="3">IF($D8=0,"0",(D8-D7)*$A$3)</f>
        <v>260</v>
      </c>
      <c r="I8" s="114">
        <f t="shared" ref="I8:I29" si="4">IF($D8=0,"0",(H8/E8))</f>
        <v>7.4285714285714288</v>
      </c>
      <c r="J8" s="51">
        <v>105</v>
      </c>
      <c r="K8" s="33">
        <f t="shared" si="1"/>
        <v>12.037037037037036</v>
      </c>
      <c r="L8" s="33">
        <f t="shared" ref="L8:L71" si="5">$O$3</f>
        <v>9.2601916100371842</v>
      </c>
      <c r="M8" s="33">
        <f t="shared" ref="M8:M71" si="6">$P$3</f>
        <v>10.557510576018821</v>
      </c>
      <c r="N8" s="114">
        <f t="shared" ref="N8:N71" si="7">IF($D8=0,"0",ROUNDUP(((G8/H8)+SUM($J$7:$J$200)/SUM($H$7:$H$200)),2))</f>
        <v>4.75</v>
      </c>
      <c r="O8" s="147" t="s">
        <v>58</v>
      </c>
      <c r="P8" s="147"/>
      <c r="Q8" s="147"/>
      <c r="R8" s="147"/>
      <c r="S8" s="148"/>
      <c r="T8" s="8"/>
      <c r="U8" s="8"/>
    </row>
    <row r="9" spans="1:21">
      <c r="A9" s="58">
        <v>29.8</v>
      </c>
      <c r="B9" s="58">
        <v>0</v>
      </c>
      <c r="C9" s="130">
        <v>40968</v>
      </c>
      <c r="D9" s="34">
        <v>600</v>
      </c>
      <c r="E9" s="39">
        <v>28</v>
      </c>
      <c r="F9" s="36">
        <f t="shared" si="0"/>
        <v>834</v>
      </c>
      <c r="G9" s="37">
        <f t="shared" si="2"/>
        <v>834</v>
      </c>
      <c r="H9" s="114">
        <f t="shared" si="3"/>
        <v>330</v>
      </c>
      <c r="I9" s="114">
        <f t="shared" si="4"/>
        <v>11.785714285714286</v>
      </c>
      <c r="J9" s="51">
        <f>250*4+2000</f>
        <v>3000</v>
      </c>
      <c r="K9" s="33">
        <f t="shared" si="1"/>
        <v>12.037037037037036</v>
      </c>
      <c r="L9" s="33">
        <f t="shared" si="5"/>
        <v>9.2601916100371842</v>
      </c>
      <c r="M9" s="33">
        <f t="shared" si="6"/>
        <v>10.557510576018821</v>
      </c>
      <c r="N9" s="114">
        <f t="shared" si="7"/>
        <v>3.57</v>
      </c>
      <c r="O9" s="147" t="s">
        <v>55</v>
      </c>
      <c r="P9" s="147"/>
      <c r="Q9" s="147"/>
      <c r="R9" s="147"/>
      <c r="S9" s="148"/>
      <c r="T9" s="8"/>
      <c r="U9" s="8"/>
    </row>
    <row r="10" spans="1:21">
      <c r="A10" s="58">
        <v>30.5</v>
      </c>
      <c r="B10" s="58">
        <v>2</v>
      </c>
      <c r="C10" s="130">
        <f t="shared" ref="C10:C72" si="8">C9+14</f>
        <v>40982</v>
      </c>
      <c r="D10" s="34">
        <f>D9+300</f>
        <v>900</v>
      </c>
      <c r="E10" s="39">
        <v>30</v>
      </c>
      <c r="F10" s="36">
        <f t="shared" si="0"/>
        <v>915</v>
      </c>
      <c r="G10" s="37">
        <f t="shared" si="2"/>
        <v>855</v>
      </c>
      <c r="H10" s="114">
        <f t="shared" si="3"/>
        <v>300</v>
      </c>
      <c r="I10" s="114">
        <f t="shared" si="4"/>
        <v>10</v>
      </c>
      <c r="J10" s="51"/>
      <c r="K10" s="33">
        <f t="shared" si="1"/>
        <v>12.037037037037036</v>
      </c>
      <c r="L10" s="33">
        <f t="shared" si="5"/>
        <v>9.2601916100371842</v>
      </c>
      <c r="M10" s="33">
        <f t="shared" si="6"/>
        <v>10.557510576018821</v>
      </c>
      <c r="N10" s="114">
        <f t="shared" si="7"/>
        <v>3.8899999999999997</v>
      </c>
      <c r="O10" s="147"/>
      <c r="P10" s="147"/>
      <c r="Q10" s="147"/>
      <c r="R10" s="147"/>
      <c r="S10" s="148"/>
      <c r="T10" s="8"/>
      <c r="U10" s="8"/>
    </row>
    <row r="11" spans="1:21">
      <c r="A11" s="58">
        <v>30.7</v>
      </c>
      <c r="B11" s="58">
        <v>2.5</v>
      </c>
      <c r="C11" s="130">
        <f>C10+14</f>
        <v>40996</v>
      </c>
      <c r="D11" s="34">
        <f t="shared" ref="D11:D20" si="9">D10+300</f>
        <v>1200</v>
      </c>
      <c r="E11" s="39">
        <v>32</v>
      </c>
      <c r="F11" s="36">
        <f t="shared" si="0"/>
        <v>982</v>
      </c>
      <c r="G11" s="37">
        <f t="shared" si="2"/>
        <v>902</v>
      </c>
      <c r="H11" s="114">
        <f t="shared" si="3"/>
        <v>300</v>
      </c>
      <c r="I11" s="114">
        <f>IF($D11=0,"0",(H11/E11))</f>
        <v>9.375</v>
      </c>
      <c r="J11" s="51"/>
      <c r="K11" s="33">
        <f t="shared" si="1"/>
        <v>12.037037037037036</v>
      </c>
      <c r="L11" s="33">
        <f t="shared" si="5"/>
        <v>9.2601916100371842</v>
      </c>
      <c r="M11" s="33">
        <f t="shared" si="6"/>
        <v>10.557510576018821</v>
      </c>
      <c r="N11" s="114">
        <f>IF($D11=0,"0",ROUNDUP(((G11/H11)+SUM($J$7:$J$200)/SUM($H$7:$H$200)),2))</f>
        <v>4.05</v>
      </c>
      <c r="O11" s="147"/>
      <c r="P11" s="147"/>
      <c r="Q11" s="147"/>
      <c r="R11" s="147"/>
      <c r="S11" s="148"/>
      <c r="T11" s="8"/>
      <c r="U11" s="8"/>
    </row>
    <row r="12" spans="1:21">
      <c r="A12" s="58">
        <v>31</v>
      </c>
      <c r="B12" s="58">
        <v>0</v>
      </c>
      <c r="C12" s="130">
        <f t="shared" si="8"/>
        <v>41010</v>
      </c>
      <c r="D12" s="34">
        <f t="shared" si="9"/>
        <v>1500</v>
      </c>
      <c r="E12" s="39">
        <v>29</v>
      </c>
      <c r="F12" s="36">
        <f t="shared" si="0"/>
        <v>899</v>
      </c>
      <c r="G12" s="37">
        <f t="shared" si="2"/>
        <v>899</v>
      </c>
      <c r="H12" s="114">
        <f t="shared" si="3"/>
        <v>300</v>
      </c>
      <c r="I12" s="114">
        <f t="shared" si="4"/>
        <v>10.344827586206897</v>
      </c>
      <c r="J12" s="51"/>
      <c r="K12" s="33">
        <f t="shared" si="1"/>
        <v>12.037037037037036</v>
      </c>
      <c r="L12" s="33">
        <f t="shared" si="5"/>
        <v>9.2601916100371842</v>
      </c>
      <c r="M12" s="33">
        <f t="shared" si="6"/>
        <v>10.557510576018821</v>
      </c>
      <c r="N12" s="114">
        <f t="shared" si="7"/>
        <v>4.04</v>
      </c>
      <c r="O12" s="147"/>
      <c r="P12" s="147"/>
      <c r="Q12" s="147"/>
      <c r="R12" s="147"/>
      <c r="S12" s="148"/>
      <c r="T12" s="8"/>
      <c r="U12" s="8"/>
    </row>
    <row r="13" spans="1:21">
      <c r="A13" s="58">
        <v>29.9</v>
      </c>
      <c r="B13" s="58">
        <v>2</v>
      </c>
      <c r="C13" s="130">
        <f t="shared" si="8"/>
        <v>41024</v>
      </c>
      <c r="D13" s="34">
        <v>1880</v>
      </c>
      <c r="E13" s="39">
        <v>27</v>
      </c>
      <c r="F13" s="36">
        <f t="shared" si="0"/>
        <v>807</v>
      </c>
      <c r="G13" s="37">
        <f t="shared" si="2"/>
        <v>753</v>
      </c>
      <c r="H13" s="114">
        <f t="shared" si="3"/>
        <v>380</v>
      </c>
      <c r="I13" s="114">
        <f t="shared" si="4"/>
        <v>14.074074074074074</v>
      </c>
      <c r="J13" s="51"/>
      <c r="K13" s="33">
        <f t="shared" si="1"/>
        <v>12.037037037037036</v>
      </c>
      <c r="L13" s="33">
        <f t="shared" si="5"/>
        <v>9.2601916100371842</v>
      </c>
      <c r="M13" s="33">
        <f t="shared" si="6"/>
        <v>10.557510576018821</v>
      </c>
      <c r="N13" s="114">
        <f t="shared" si="7"/>
        <v>3.0199999999999996</v>
      </c>
      <c r="O13" s="147" t="s">
        <v>61</v>
      </c>
      <c r="P13" s="147"/>
      <c r="Q13" s="147"/>
      <c r="R13" s="147"/>
      <c r="S13" s="148"/>
      <c r="T13" s="8"/>
      <c r="U13" s="8"/>
    </row>
    <row r="14" spans="1:21">
      <c r="A14" s="58">
        <v>28.7</v>
      </c>
      <c r="B14" s="58">
        <v>0</v>
      </c>
      <c r="C14" s="130">
        <f t="shared" si="8"/>
        <v>41038</v>
      </c>
      <c r="D14" s="34">
        <f t="shared" si="9"/>
        <v>2180</v>
      </c>
      <c r="E14" s="39">
        <v>28</v>
      </c>
      <c r="F14" s="36">
        <f t="shared" si="0"/>
        <v>804</v>
      </c>
      <c r="G14" s="37">
        <f t="shared" si="2"/>
        <v>804</v>
      </c>
      <c r="H14" s="114">
        <f t="shared" si="3"/>
        <v>300</v>
      </c>
      <c r="I14" s="114">
        <f t="shared" si="4"/>
        <v>10.714285714285714</v>
      </c>
      <c r="J14" s="51"/>
      <c r="K14" s="33">
        <f t="shared" si="1"/>
        <v>12.037037037037036</v>
      </c>
      <c r="L14" s="33">
        <f t="shared" si="5"/>
        <v>9.2601916100371842</v>
      </c>
      <c r="M14" s="33">
        <f t="shared" si="6"/>
        <v>10.557510576018821</v>
      </c>
      <c r="N14" s="114">
        <f t="shared" si="7"/>
        <v>3.7199999999999998</v>
      </c>
      <c r="O14" s="147"/>
      <c r="P14" s="147"/>
      <c r="Q14" s="147"/>
      <c r="R14" s="147"/>
      <c r="S14" s="148"/>
      <c r="T14" s="8"/>
      <c r="U14" s="8"/>
    </row>
    <row r="15" spans="1:21">
      <c r="A15" s="58">
        <v>31.5</v>
      </c>
      <c r="B15" s="58">
        <v>2</v>
      </c>
      <c r="C15" s="130">
        <f t="shared" si="8"/>
        <v>41052</v>
      </c>
      <c r="D15" s="34">
        <f t="shared" si="9"/>
        <v>2480</v>
      </c>
      <c r="E15" s="39">
        <v>28.8</v>
      </c>
      <c r="F15" s="36">
        <f t="shared" si="0"/>
        <v>907</v>
      </c>
      <c r="G15" s="37">
        <f t="shared" si="2"/>
        <v>849</v>
      </c>
      <c r="H15" s="114">
        <f t="shared" si="3"/>
        <v>300</v>
      </c>
      <c r="I15" s="114">
        <f t="shared" si="4"/>
        <v>10.416666666666666</v>
      </c>
      <c r="J15" s="51"/>
      <c r="K15" s="33">
        <f t="shared" si="1"/>
        <v>12.037037037037036</v>
      </c>
      <c r="L15" s="33">
        <f t="shared" si="5"/>
        <v>9.2601916100371842</v>
      </c>
      <c r="M15" s="33">
        <f t="shared" si="6"/>
        <v>10.557510576018821</v>
      </c>
      <c r="N15" s="114">
        <f t="shared" si="7"/>
        <v>3.8699999999999997</v>
      </c>
      <c r="O15" s="147"/>
      <c r="P15" s="147"/>
      <c r="Q15" s="147"/>
      <c r="R15" s="147"/>
      <c r="S15" s="148"/>
      <c r="T15" s="8"/>
      <c r="U15" s="8"/>
    </row>
    <row r="16" spans="1:21">
      <c r="A16" s="58">
        <v>30</v>
      </c>
      <c r="B16" s="58">
        <v>2.5</v>
      </c>
      <c r="C16" s="130">
        <f t="shared" si="8"/>
        <v>41066</v>
      </c>
      <c r="D16" s="34">
        <f t="shared" si="9"/>
        <v>2780</v>
      </c>
      <c r="E16" s="39">
        <v>30</v>
      </c>
      <c r="F16" s="36">
        <f t="shared" si="0"/>
        <v>900</v>
      </c>
      <c r="G16" s="37">
        <f t="shared" si="2"/>
        <v>825</v>
      </c>
      <c r="H16" s="114">
        <f t="shared" si="3"/>
        <v>300</v>
      </c>
      <c r="I16" s="114">
        <f t="shared" si="4"/>
        <v>10</v>
      </c>
      <c r="J16" s="51"/>
      <c r="K16" s="33">
        <f t="shared" si="1"/>
        <v>12.037037037037036</v>
      </c>
      <c r="L16" s="33">
        <f t="shared" si="5"/>
        <v>9.2601916100371842</v>
      </c>
      <c r="M16" s="33">
        <f t="shared" si="6"/>
        <v>10.557510576018821</v>
      </c>
      <c r="N16" s="114">
        <f t="shared" si="7"/>
        <v>3.7899999999999996</v>
      </c>
      <c r="O16" s="147"/>
      <c r="P16" s="147"/>
      <c r="Q16" s="147"/>
      <c r="R16" s="147"/>
      <c r="S16" s="148"/>
      <c r="T16" s="8"/>
      <c r="U16" s="8"/>
    </row>
    <row r="17" spans="1:21">
      <c r="A17" s="58">
        <v>29.8</v>
      </c>
      <c r="B17" s="58">
        <v>0</v>
      </c>
      <c r="C17" s="130">
        <f t="shared" si="8"/>
        <v>41080</v>
      </c>
      <c r="D17" s="34">
        <f t="shared" si="9"/>
        <v>3080</v>
      </c>
      <c r="E17" s="39">
        <v>31</v>
      </c>
      <c r="F17" s="36">
        <f t="shared" si="0"/>
        <v>924</v>
      </c>
      <c r="G17" s="37">
        <f t="shared" si="2"/>
        <v>924</v>
      </c>
      <c r="H17" s="114">
        <f t="shared" si="3"/>
        <v>300</v>
      </c>
      <c r="I17" s="114">
        <f t="shared" si="4"/>
        <v>9.67741935483871</v>
      </c>
      <c r="J17" s="51"/>
      <c r="K17" s="33">
        <f t="shared" si="1"/>
        <v>12.037037037037036</v>
      </c>
      <c r="L17" s="33">
        <f t="shared" si="5"/>
        <v>9.2601916100371842</v>
      </c>
      <c r="M17" s="33">
        <f t="shared" si="6"/>
        <v>10.557510576018821</v>
      </c>
      <c r="N17" s="114">
        <f t="shared" si="7"/>
        <v>4.12</v>
      </c>
      <c r="O17" s="147"/>
      <c r="P17" s="147"/>
      <c r="Q17" s="147"/>
      <c r="R17" s="147"/>
      <c r="S17" s="148"/>
      <c r="T17" s="8"/>
      <c r="U17" s="8"/>
    </row>
    <row r="18" spans="1:21">
      <c r="A18" s="58">
        <v>29.7</v>
      </c>
      <c r="B18" s="58">
        <v>2.1</v>
      </c>
      <c r="C18" s="130">
        <f t="shared" si="8"/>
        <v>41094</v>
      </c>
      <c r="D18" s="34">
        <f t="shared" si="9"/>
        <v>3380</v>
      </c>
      <c r="E18" s="39">
        <v>30.55</v>
      </c>
      <c r="F18" s="36">
        <f t="shared" si="0"/>
        <v>907</v>
      </c>
      <c r="G18" s="37">
        <f t="shared" si="2"/>
        <v>843</v>
      </c>
      <c r="H18" s="114">
        <f t="shared" si="3"/>
        <v>300</v>
      </c>
      <c r="I18" s="114">
        <f t="shared" si="4"/>
        <v>9.8199672667757767</v>
      </c>
      <c r="J18" s="51"/>
      <c r="K18" s="33">
        <f t="shared" si="1"/>
        <v>12.037037037037036</v>
      </c>
      <c r="L18" s="33">
        <f t="shared" si="5"/>
        <v>9.2601916100371842</v>
      </c>
      <c r="M18" s="33">
        <f t="shared" si="6"/>
        <v>10.557510576018821</v>
      </c>
      <c r="N18" s="114">
        <f t="shared" si="7"/>
        <v>3.8499999999999996</v>
      </c>
      <c r="O18" s="147"/>
      <c r="P18" s="147"/>
      <c r="Q18" s="147"/>
      <c r="R18" s="147"/>
      <c r="S18" s="148"/>
      <c r="T18" s="8"/>
      <c r="U18" s="8"/>
    </row>
    <row r="19" spans="1:21">
      <c r="A19" s="58">
        <v>29.5</v>
      </c>
      <c r="B19" s="58">
        <v>2.2000000000000002</v>
      </c>
      <c r="C19" s="130">
        <f t="shared" si="8"/>
        <v>41108</v>
      </c>
      <c r="D19" s="34">
        <f t="shared" si="9"/>
        <v>3680</v>
      </c>
      <c r="E19" s="39">
        <v>27</v>
      </c>
      <c r="F19" s="36">
        <f t="shared" si="0"/>
        <v>797</v>
      </c>
      <c r="G19" s="37">
        <f t="shared" si="2"/>
        <v>738</v>
      </c>
      <c r="H19" s="114">
        <f t="shared" si="3"/>
        <v>300</v>
      </c>
      <c r="I19" s="114">
        <f t="shared" si="4"/>
        <v>11.111111111111111</v>
      </c>
      <c r="J19" s="51"/>
      <c r="K19" s="33">
        <f t="shared" si="1"/>
        <v>12.037037037037036</v>
      </c>
      <c r="L19" s="33">
        <f t="shared" si="5"/>
        <v>9.2601916100371842</v>
      </c>
      <c r="M19" s="33">
        <f t="shared" si="6"/>
        <v>10.557510576018821</v>
      </c>
      <c r="N19" s="114">
        <f t="shared" si="7"/>
        <v>3.5</v>
      </c>
      <c r="O19" s="147"/>
      <c r="P19" s="147"/>
      <c r="Q19" s="147"/>
      <c r="R19" s="147"/>
      <c r="S19" s="148"/>
      <c r="T19" s="8"/>
      <c r="U19" s="8"/>
    </row>
    <row r="20" spans="1:21">
      <c r="A20" s="58">
        <v>31.7</v>
      </c>
      <c r="B20" s="58">
        <v>2.5</v>
      </c>
      <c r="C20" s="130">
        <f t="shared" si="8"/>
        <v>41122</v>
      </c>
      <c r="D20" s="34">
        <f t="shared" si="9"/>
        <v>3980</v>
      </c>
      <c r="E20" s="39">
        <v>24</v>
      </c>
      <c r="F20" s="36">
        <f t="shared" si="0"/>
        <v>761</v>
      </c>
      <c r="G20" s="37">
        <f t="shared" si="2"/>
        <v>701</v>
      </c>
      <c r="H20" s="114">
        <f t="shared" si="3"/>
        <v>300</v>
      </c>
      <c r="I20" s="114">
        <f t="shared" si="4"/>
        <v>12.5</v>
      </c>
      <c r="J20" s="51"/>
      <c r="K20" s="33">
        <f t="shared" si="1"/>
        <v>12.037037037037036</v>
      </c>
      <c r="L20" s="33">
        <f t="shared" si="5"/>
        <v>9.2601916100371842</v>
      </c>
      <c r="M20" s="33">
        <f t="shared" si="6"/>
        <v>10.557510576018821</v>
      </c>
      <c r="N20" s="114">
        <f t="shared" si="7"/>
        <v>3.38</v>
      </c>
      <c r="O20" s="147"/>
      <c r="P20" s="147"/>
      <c r="Q20" s="147"/>
      <c r="R20" s="147"/>
      <c r="S20" s="148"/>
      <c r="T20" s="8"/>
      <c r="U20" s="8"/>
    </row>
    <row r="21" spans="1:21">
      <c r="A21" s="58"/>
      <c r="B21" s="58"/>
      <c r="C21" s="130">
        <f t="shared" si="8"/>
        <v>41136</v>
      </c>
      <c r="D21" s="34"/>
      <c r="E21" s="39"/>
      <c r="F21" s="36">
        <f t="shared" si="0"/>
        <v>0</v>
      </c>
      <c r="G21" s="37">
        <f t="shared" si="2"/>
        <v>0</v>
      </c>
      <c r="H21" s="114" t="str">
        <f t="shared" si="3"/>
        <v>0</v>
      </c>
      <c r="I21" s="115" t="str">
        <f t="shared" si="4"/>
        <v>0</v>
      </c>
      <c r="J21" s="51"/>
      <c r="K21" s="33">
        <f t="shared" si="1"/>
        <v>12.037037037037036</v>
      </c>
      <c r="L21" s="33">
        <f t="shared" si="5"/>
        <v>9.2601916100371842</v>
      </c>
      <c r="M21" s="33">
        <f t="shared" si="6"/>
        <v>10.557510576018821</v>
      </c>
      <c r="N21" s="114" t="str">
        <f t="shared" si="7"/>
        <v>0</v>
      </c>
      <c r="O21" s="147"/>
      <c r="P21" s="147"/>
      <c r="Q21" s="147"/>
      <c r="R21" s="147"/>
      <c r="S21" s="148"/>
      <c r="T21" s="8"/>
      <c r="U21" s="8"/>
    </row>
    <row r="22" spans="1:21">
      <c r="A22" s="58"/>
      <c r="B22" s="58"/>
      <c r="C22" s="130">
        <f t="shared" si="8"/>
        <v>41150</v>
      </c>
      <c r="D22" s="34"/>
      <c r="E22" s="39"/>
      <c r="F22" s="36">
        <f t="shared" si="0"/>
        <v>0</v>
      </c>
      <c r="G22" s="37">
        <f t="shared" si="2"/>
        <v>0</v>
      </c>
      <c r="H22" s="114" t="str">
        <f t="shared" si="3"/>
        <v>0</v>
      </c>
      <c r="I22" s="115" t="str">
        <f t="shared" si="4"/>
        <v>0</v>
      </c>
      <c r="J22" s="51"/>
      <c r="K22" s="33">
        <f t="shared" si="1"/>
        <v>12.037037037037036</v>
      </c>
      <c r="L22" s="33">
        <f t="shared" si="5"/>
        <v>9.2601916100371842</v>
      </c>
      <c r="M22" s="33">
        <f t="shared" si="6"/>
        <v>10.557510576018821</v>
      </c>
      <c r="N22" s="114" t="str">
        <f t="shared" si="7"/>
        <v>0</v>
      </c>
      <c r="O22" s="147"/>
      <c r="P22" s="147"/>
      <c r="Q22" s="147"/>
      <c r="R22" s="147"/>
      <c r="S22" s="148"/>
      <c r="T22" s="8"/>
      <c r="U22" s="8"/>
    </row>
    <row r="23" spans="1:21">
      <c r="A23" s="58"/>
      <c r="B23" s="58"/>
      <c r="C23" s="130">
        <f t="shared" si="8"/>
        <v>41164</v>
      </c>
      <c r="D23" s="34"/>
      <c r="E23" s="39"/>
      <c r="F23" s="36">
        <f t="shared" si="0"/>
        <v>0</v>
      </c>
      <c r="G23" s="37">
        <f t="shared" si="2"/>
        <v>0</v>
      </c>
      <c r="H23" s="114" t="str">
        <f t="shared" si="3"/>
        <v>0</v>
      </c>
      <c r="I23" s="115" t="str">
        <f t="shared" si="4"/>
        <v>0</v>
      </c>
      <c r="J23" s="51"/>
      <c r="K23" s="33">
        <f t="shared" si="1"/>
        <v>12.037037037037036</v>
      </c>
      <c r="L23" s="33">
        <f t="shared" si="5"/>
        <v>9.2601916100371842</v>
      </c>
      <c r="M23" s="33">
        <f t="shared" si="6"/>
        <v>10.557510576018821</v>
      </c>
      <c r="N23" s="114" t="str">
        <f t="shared" si="7"/>
        <v>0</v>
      </c>
      <c r="O23" s="147"/>
      <c r="P23" s="147"/>
      <c r="Q23" s="147"/>
      <c r="R23" s="147"/>
      <c r="S23" s="148"/>
      <c r="T23" s="8"/>
      <c r="U23" s="8"/>
    </row>
    <row r="24" spans="1:21">
      <c r="A24" s="58"/>
      <c r="B24" s="58"/>
      <c r="C24" s="130">
        <f t="shared" si="8"/>
        <v>41178</v>
      </c>
      <c r="D24" s="34"/>
      <c r="E24" s="39"/>
      <c r="F24" s="36">
        <f t="shared" si="0"/>
        <v>0</v>
      </c>
      <c r="G24" s="37">
        <f t="shared" si="2"/>
        <v>0</v>
      </c>
      <c r="H24" s="114" t="str">
        <f t="shared" si="3"/>
        <v>0</v>
      </c>
      <c r="I24" s="115" t="str">
        <f t="shared" si="4"/>
        <v>0</v>
      </c>
      <c r="J24" s="51"/>
      <c r="K24" s="33">
        <f t="shared" si="1"/>
        <v>12.037037037037036</v>
      </c>
      <c r="L24" s="33">
        <f t="shared" si="5"/>
        <v>9.2601916100371842</v>
      </c>
      <c r="M24" s="33">
        <f t="shared" si="6"/>
        <v>10.557510576018821</v>
      </c>
      <c r="N24" s="114" t="str">
        <f t="shared" si="7"/>
        <v>0</v>
      </c>
      <c r="O24" s="147"/>
      <c r="P24" s="147"/>
      <c r="Q24" s="147"/>
      <c r="R24" s="147"/>
      <c r="S24" s="148"/>
      <c r="T24" s="8"/>
      <c r="U24" s="8"/>
    </row>
    <row r="25" spans="1:21">
      <c r="A25" s="58"/>
      <c r="B25" s="58"/>
      <c r="C25" s="130">
        <f t="shared" si="8"/>
        <v>41192</v>
      </c>
      <c r="D25" s="34"/>
      <c r="E25" s="39"/>
      <c r="F25" s="36">
        <f t="shared" si="0"/>
        <v>0</v>
      </c>
      <c r="G25" s="37">
        <f t="shared" si="2"/>
        <v>0</v>
      </c>
      <c r="H25" s="114" t="str">
        <f t="shared" si="3"/>
        <v>0</v>
      </c>
      <c r="I25" s="115" t="str">
        <f t="shared" si="4"/>
        <v>0</v>
      </c>
      <c r="J25" s="51"/>
      <c r="K25" s="33">
        <f t="shared" si="1"/>
        <v>12.037037037037036</v>
      </c>
      <c r="L25" s="33">
        <f t="shared" si="5"/>
        <v>9.2601916100371842</v>
      </c>
      <c r="M25" s="33">
        <f t="shared" si="6"/>
        <v>10.557510576018821</v>
      </c>
      <c r="N25" s="114" t="str">
        <f t="shared" si="7"/>
        <v>0</v>
      </c>
      <c r="O25" s="147"/>
      <c r="P25" s="147"/>
      <c r="Q25" s="147"/>
      <c r="R25" s="147"/>
      <c r="S25" s="148"/>
      <c r="T25" s="8"/>
      <c r="U25" s="8"/>
    </row>
    <row r="26" spans="1:21">
      <c r="A26" s="58"/>
      <c r="B26" s="58"/>
      <c r="C26" s="130">
        <f t="shared" si="8"/>
        <v>41206</v>
      </c>
      <c r="D26" s="34"/>
      <c r="E26" s="39"/>
      <c r="F26" s="36">
        <f t="shared" si="0"/>
        <v>0</v>
      </c>
      <c r="G26" s="37">
        <f t="shared" si="2"/>
        <v>0</v>
      </c>
      <c r="H26" s="114" t="str">
        <f t="shared" si="3"/>
        <v>0</v>
      </c>
      <c r="I26" s="115" t="str">
        <f t="shared" si="4"/>
        <v>0</v>
      </c>
      <c r="J26" s="51"/>
      <c r="K26" s="33">
        <f t="shared" si="1"/>
        <v>12.037037037037036</v>
      </c>
      <c r="L26" s="33">
        <f t="shared" si="5"/>
        <v>9.2601916100371842</v>
      </c>
      <c r="M26" s="33">
        <f t="shared" si="6"/>
        <v>10.557510576018821</v>
      </c>
      <c r="N26" s="114" t="str">
        <f t="shared" si="7"/>
        <v>0</v>
      </c>
      <c r="O26" s="147"/>
      <c r="P26" s="147"/>
      <c r="Q26" s="147"/>
      <c r="R26" s="147"/>
      <c r="S26" s="148"/>
      <c r="T26" s="8"/>
      <c r="U26" s="8"/>
    </row>
    <row r="27" spans="1:21">
      <c r="A27" s="58"/>
      <c r="B27" s="58"/>
      <c r="C27" s="130">
        <f t="shared" si="8"/>
        <v>41220</v>
      </c>
      <c r="D27" s="34"/>
      <c r="E27" s="39"/>
      <c r="F27" s="36">
        <f t="shared" si="0"/>
        <v>0</v>
      </c>
      <c r="G27" s="37">
        <f t="shared" si="2"/>
        <v>0</v>
      </c>
      <c r="H27" s="114" t="str">
        <f t="shared" si="3"/>
        <v>0</v>
      </c>
      <c r="I27" s="115" t="str">
        <f t="shared" si="4"/>
        <v>0</v>
      </c>
      <c r="J27" s="51"/>
      <c r="K27" s="33">
        <f t="shared" si="1"/>
        <v>12.037037037037036</v>
      </c>
      <c r="L27" s="33">
        <f t="shared" si="5"/>
        <v>9.2601916100371842</v>
      </c>
      <c r="M27" s="33">
        <f t="shared" si="6"/>
        <v>10.557510576018821</v>
      </c>
      <c r="N27" s="114" t="str">
        <f t="shared" si="7"/>
        <v>0</v>
      </c>
      <c r="O27" s="147"/>
      <c r="P27" s="147"/>
      <c r="Q27" s="147"/>
      <c r="R27" s="147"/>
      <c r="S27" s="148"/>
      <c r="T27" s="8"/>
      <c r="U27" s="8"/>
    </row>
    <row r="28" spans="1:21">
      <c r="A28" s="58"/>
      <c r="B28" s="58"/>
      <c r="C28" s="130">
        <f t="shared" si="8"/>
        <v>41234</v>
      </c>
      <c r="D28" s="34"/>
      <c r="E28" s="42"/>
      <c r="F28" s="36">
        <f t="shared" si="0"/>
        <v>0</v>
      </c>
      <c r="G28" s="37">
        <f t="shared" si="2"/>
        <v>0</v>
      </c>
      <c r="H28" s="116" t="str">
        <f t="shared" si="3"/>
        <v>0</v>
      </c>
      <c r="I28" s="115" t="str">
        <f t="shared" si="4"/>
        <v>0</v>
      </c>
      <c r="J28" s="51"/>
      <c r="K28" s="33">
        <f t="shared" si="1"/>
        <v>12.037037037037036</v>
      </c>
      <c r="L28" s="33">
        <f t="shared" si="5"/>
        <v>9.2601916100371842</v>
      </c>
      <c r="M28" s="33">
        <f t="shared" si="6"/>
        <v>10.557510576018821</v>
      </c>
      <c r="N28" s="114" t="str">
        <f t="shared" si="7"/>
        <v>0</v>
      </c>
      <c r="O28" s="147"/>
      <c r="P28" s="147"/>
      <c r="Q28" s="147"/>
      <c r="R28" s="147"/>
      <c r="S28" s="148"/>
      <c r="T28" s="8"/>
      <c r="U28" s="8"/>
    </row>
    <row r="29" spans="1:21">
      <c r="A29" s="58"/>
      <c r="B29" s="58"/>
      <c r="C29" s="130">
        <f t="shared" si="8"/>
        <v>41248</v>
      </c>
      <c r="D29" s="34"/>
      <c r="E29" s="35"/>
      <c r="F29" s="36">
        <f t="shared" si="0"/>
        <v>0</v>
      </c>
      <c r="G29" s="37">
        <f t="shared" si="2"/>
        <v>0</v>
      </c>
      <c r="H29" s="114" t="str">
        <f t="shared" si="3"/>
        <v>0</v>
      </c>
      <c r="I29" s="114" t="str">
        <f t="shared" si="4"/>
        <v>0</v>
      </c>
      <c r="J29" s="51"/>
      <c r="K29" s="33">
        <f t="shared" si="1"/>
        <v>12.037037037037036</v>
      </c>
      <c r="L29" s="33">
        <f t="shared" si="5"/>
        <v>9.2601916100371842</v>
      </c>
      <c r="M29" s="33">
        <f t="shared" si="6"/>
        <v>10.557510576018821</v>
      </c>
      <c r="N29" s="114" t="str">
        <f t="shared" si="7"/>
        <v>0</v>
      </c>
      <c r="O29" s="147"/>
      <c r="P29" s="147"/>
      <c r="Q29" s="147"/>
      <c r="R29" s="147"/>
      <c r="S29" s="148"/>
      <c r="T29" s="8"/>
      <c r="U29" s="8"/>
    </row>
    <row r="30" spans="1:21">
      <c r="A30" s="58"/>
      <c r="B30" s="58"/>
      <c r="C30" s="130">
        <f t="shared" si="8"/>
        <v>41262</v>
      </c>
      <c r="D30" s="34"/>
      <c r="E30" s="35"/>
      <c r="F30" s="36">
        <f t="shared" si="0"/>
        <v>0</v>
      </c>
      <c r="G30" s="37">
        <f t="shared" si="2"/>
        <v>0</v>
      </c>
      <c r="H30" s="114" t="str">
        <f t="shared" si="3"/>
        <v>0</v>
      </c>
      <c r="I30" s="114" t="str">
        <f>IF($D30=0,"0",(H30/E30))</f>
        <v>0</v>
      </c>
      <c r="J30" s="51"/>
      <c r="K30" s="33">
        <f t="shared" si="1"/>
        <v>12.037037037037036</v>
      </c>
      <c r="L30" s="33">
        <f t="shared" si="5"/>
        <v>9.2601916100371842</v>
      </c>
      <c r="M30" s="33">
        <f t="shared" si="6"/>
        <v>10.557510576018821</v>
      </c>
      <c r="N30" s="114" t="str">
        <f t="shared" si="7"/>
        <v>0</v>
      </c>
      <c r="O30" s="147"/>
      <c r="P30" s="147"/>
      <c r="Q30" s="147"/>
      <c r="R30" s="147"/>
      <c r="S30" s="148"/>
      <c r="T30" s="8"/>
      <c r="U30" s="8"/>
    </row>
    <row r="31" spans="1:21">
      <c r="A31" s="58"/>
      <c r="B31" s="58"/>
      <c r="C31" s="130">
        <f t="shared" si="8"/>
        <v>41276</v>
      </c>
      <c r="D31" s="34"/>
      <c r="E31" s="35"/>
      <c r="F31" s="36">
        <f t="shared" si="0"/>
        <v>0</v>
      </c>
      <c r="G31" s="37">
        <f t="shared" si="2"/>
        <v>0</v>
      </c>
      <c r="H31" s="114" t="str">
        <f t="shared" si="3"/>
        <v>0</v>
      </c>
      <c r="I31" s="114" t="str">
        <f t="shared" ref="I31:I94" si="10">IF($D31=0,"0",(H31/E31))</f>
        <v>0</v>
      </c>
      <c r="J31" s="51"/>
      <c r="K31" s="33">
        <f t="shared" si="1"/>
        <v>12.037037037037036</v>
      </c>
      <c r="L31" s="33">
        <f t="shared" si="5"/>
        <v>9.2601916100371842</v>
      </c>
      <c r="M31" s="33">
        <f t="shared" si="6"/>
        <v>10.557510576018821</v>
      </c>
      <c r="N31" s="114" t="str">
        <f t="shared" si="7"/>
        <v>0</v>
      </c>
      <c r="O31" s="147"/>
      <c r="P31" s="147"/>
      <c r="Q31" s="147"/>
      <c r="R31" s="147"/>
      <c r="S31" s="148"/>
      <c r="T31" s="8"/>
      <c r="U31" s="8"/>
    </row>
    <row r="32" spans="1:21">
      <c r="A32" s="58"/>
      <c r="B32" s="58"/>
      <c r="C32" s="130">
        <f t="shared" si="8"/>
        <v>41290</v>
      </c>
      <c r="D32" s="34"/>
      <c r="E32" s="35"/>
      <c r="F32" s="36">
        <f t="shared" si="0"/>
        <v>0</v>
      </c>
      <c r="G32" s="37">
        <f t="shared" si="2"/>
        <v>0</v>
      </c>
      <c r="H32" s="114" t="str">
        <f t="shared" si="3"/>
        <v>0</v>
      </c>
      <c r="I32" s="114" t="str">
        <f t="shared" si="10"/>
        <v>0</v>
      </c>
      <c r="J32" s="51"/>
      <c r="K32" s="33">
        <f t="shared" si="1"/>
        <v>12.037037037037036</v>
      </c>
      <c r="L32" s="33">
        <f t="shared" si="5"/>
        <v>9.2601916100371842</v>
      </c>
      <c r="M32" s="33">
        <f t="shared" si="6"/>
        <v>10.557510576018821</v>
      </c>
      <c r="N32" s="114" t="str">
        <f t="shared" si="7"/>
        <v>0</v>
      </c>
      <c r="O32" s="147"/>
      <c r="P32" s="147"/>
      <c r="Q32" s="147"/>
      <c r="R32" s="147"/>
      <c r="S32" s="148"/>
      <c r="T32" s="8"/>
      <c r="U32" s="8"/>
    </row>
    <row r="33" spans="1:21">
      <c r="A33" s="58"/>
      <c r="B33" s="58"/>
      <c r="C33" s="130">
        <f t="shared" si="8"/>
        <v>41304</v>
      </c>
      <c r="D33" s="34"/>
      <c r="E33" s="35"/>
      <c r="F33" s="36">
        <f t="shared" si="0"/>
        <v>0</v>
      </c>
      <c r="G33" s="37">
        <f t="shared" si="2"/>
        <v>0</v>
      </c>
      <c r="H33" s="114" t="str">
        <f t="shared" si="3"/>
        <v>0</v>
      </c>
      <c r="I33" s="114" t="str">
        <f t="shared" si="10"/>
        <v>0</v>
      </c>
      <c r="J33" s="51"/>
      <c r="K33" s="33">
        <f t="shared" si="1"/>
        <v>12.037037037037036</v>
      </c>
      <c r="L33" s="33">
        <f t="shared" si="5"/>
        <v>9.2601916100371842</v>
      </c>
      <c r="M33" s="33">
        <f t="shared" si="6"/>
        <v>10.557510576018821</v>
      </c>
      <c r="N33" s="114" t="str">
        <f t="shared" si="7"/>
        <v>0</v>
      </c>
      <c r="O33" s="147"/>
      <c r="P33" s="147"/>
      <c r="Q33" s="147"/>
      <c r="R33" s="147"/>
      <c r="S33" s="148"/>
      <c r="T33" s="8"/>
      <c r="U33" s="8"/>
    </row>
    <row r="34" spans="1:21">
      <c r="A34" s="58"/>
      <c r="B34" s="58"/>
      <c r="C34" s="135">
        <f t="shared" si="8"/>
        <v>41318</v>
      </c>
      <c r="D34" s="34"/>
      <c r="E34" s="35"/>
      <c r="F34" s="36">
        <f t="shared" si="0"/>
        <v>0</v>
      </c>
      <c r="G34" s="37">
        <f t="shared" si="2"/>
        <v>0</v>
      </c>
      <c r="H34" s="114" t="str">
        <f t="shared" si="3"/>
        <v>0</v>
      </c>
      <c r="I34" s="114" t="str">
        <f t="shared" si="10"/>
        <v>0</v>
      </c>
      <c r="J34" s="51"/>
      <c r="K34" s="33">
        <f t="shared" si="1"/>
        <v>12.037037037037036</v>
      </c>
      <c r="L34" s="33">
        <f t="shared" si="5"/>
        <v>9.2601916100371842</v>
      </c>
      <c r="M34" s="33">
        <f t="shared" si="6"/>
        <v>10.557510576018821</v>
      </c>
      <c r="N34" s="114" t="str">
        <f t="shared" si="7"/>
        <v>0</v>
      </c>
      <c r="O34" s="147"/>
      <c r="P34" s="147"/>
      <c r="Q34" s="147"/>
      <c r="R34" s="147"/>
      <c r="S34" s="148"/>
      <c r="T34" s="8"/>
      <c r="U34" s="8"/>
    </row>
    <row r="35" spans="1:21">
      <c r="A35" s="58"/>
      <c r="B35" s="58"/>
      <c r="C35" s="135">
        <f t="shared" si="8"/>
        <v>41332</v>
      </c>
      <c r="D35" s="38"/>
      <c r="E35" s="35"/>
      <c r="F35" s="36">
        <f t="shared" si="0"/>
        <v>0</v>
      </c>
      <c r="G35" s="37">
        <f t="shared" si="2"/>
        <v>0</v>
      </c>
      <c r="H35" s="114" t="str">
        <f t="shared" si="3"/>
        <v>0</v>
      </c>
      <c r="I35" s="114" t="str">
        <f t="shared" si="10"/>
        <v>0</v>
      </c>
      <c r="J35" s="51"/>
      <c r="K35" s="33">
        <f t="shared" si="1"/>
        <v>12.037037037037036</v>
      </c>
      <c r="L35" s="33">
        <f t="shared" si="5"/>
        <v>9.2601916100371842</v>
      </c>
      <c r="M35" s="33">
        <f t="shared" si="6"/>
        <v>10.557510576018821</v>
      </c>
      <c r="N35" s="114" t="str">
        <f t="shared" si="7"/>
        <v>0</v>
      </c>
      <c r="O35" s="147"/>
      <c r="P35" s="147"/>
      <c r="Q35" s="147"/>
      <c r="R35" s="147"/>
      <c r="S35" s="148"/>
      <c r="T35" s="8"/>
      <c r="U35" s="8"/>
    </row>
    <row r="36" spans="1:21">
      <c r="A36" s="58"/>
      <c r="B36" s="58"/>
      <c r="C36" s="135">
        <f t="shared" si="8"/>
        <v>41346</v>
      </c>
      <c r="D36" s="38"/>
      <c r="E36" s="35"/>
      <c r="F36" s="36">
        <f t="shared" si="0"/>
        <v>0</v>
      </c>
      <c r="G36" s="37">
        <f t="shared" si="2"/>
        <v>0</v>
      </c>
      <c r="H36" s="114" t="str">
        <f t="shared" si="3"/>
        <v>0</v>
      </c>
      <c r="I36" s="114" t="str">
        <f t="shared" si="10"/>
        <v>0</v>
      </c>
      <c r="J36" s="51"/>
      <c r="K36" s="33">
        <f t="shared" si="1"/>
        <v>12.037037037037036</v>
      </c>
      <c r="L36" s="33">
        <f t="shared" si="5"/>
        <v>9.2601916100371842</v>
      </c>
      <c r="M36" s="33">
        <f t="shared" si="6"/>
        <v>10.557510576018821</v>
      </c>
      <c r="N36" s="114" t="str">
        <f t="shared" si="7"/>
        <v>0</v>
      </c>
      <c r="O36" s="147"/>
      <c r="P36" s="147"/>
      <c r="Q36" s="147"/>
      <c r="R36" s="147"/>
      <c r="S36" s="148"/>
      <c r="T36" s="8"/>
      <c r="U36" s="8"/>
    </row>
    <row r="37" spans="1:21">
      <c r="A37" s="58"/>
      <c r="B37" s="58"/>
      <c r="C37" s="135">
        <f t="shared" si="8"/>
        <v>41360</v>
      </c>
      <c r="D37" s="38"/>
      <c r="E37" s="35"/>
      <c r="F37" s="36">
        <f t="shared" si="0"/>
        <v>0</v>
      </c>
      <c r="G37" s="37">
        <f t="shared" si="2"/>
        <v>0</v>
      </c>
      <c r="H37" s="114" t="str">
        <f t="shared" si="3"/>
        <v>0</v>
      </c>
      <c r="I37" s="114" t="str">
        <f t="shared" si="10"/>
        <v>0</v>
      </c>
      <c r="J37" s="51"/>
      <c r="K37" s="33">
        <f t="shared" si="1"/>
        <v>12.037037037037036</v>
      </c>
      <c r="L37" s="33">
        <f t="shared" si="5"/>
        <v>9.2601916100371842</v>
      </c>
      <c r="M37" s="33">
        <f t="shared" si="6"/>
        <v>10.557510576018821</v>
      </c>
      <c r="N37" s="114" t="str">
        <f t="shared" si="7"/>
        <v>0</v>
      </c>
      <c r="O37" s="147"/>
      <c r="P37" s="147"/>
      <c r="Q37" s="147"/>
      <c r="R37" s="147"/>
      <c r="S37" s="148"/>
      <c r="T37" s="8"/>
      <c r="U37" s="8"/>
    </row>
    <row r="38" spans="1:21">
      <c r="A38" s="58"/>
      <c r="B38" s="58"/>
      <c r="C38" s="135">
        <f t="shared" si="8"/>
        <v>41374</v>
      </c>
      <c r="D38" s="38"/>
      <c r="E38" s="35"/>
      <c r="F38" s="36">
        <f t="shared" si="0"/>
        <v>0</v>
      </c>
      <c r="G38" s="37">
        <f t="shared" si="2"/>
        <v>0</v>
      </c>
      <c r="H38" s="114" t="str">
        <f t="shared" si="3"/>
        <v>0</v>
      </c>
      <c r="I38" s="114" t="str">
        <f t="shared" si="10"/>
        <v>0</v>
      </c>
      <c r="J38" s="51"/>
      <c r="K38" s="33">
        <f t="shared" si="1"/>
        <v>12.037037037037036</v>
      </c>
      <c r="L38" s="33">
        <f t="shared" si="5"/>
        <v>9.2601916100371842</v>
      </c>
      <c r="M38" s="33">
        <f t="shared" si="6"/>
        <v>10.557510576018821</v>
      </c>
      <c r="N38" s="114" t="str">
        <f t="shared" si="7"/>
        <v>0</v>
      </c>
      <c r="O38" s="147"/>
      <c r="P38" s="147"/>
      <c r="Q38" s="147"/>
      <c r="R38" s="147"/>
      <c r="S38" s="148"/>
      <c r="T38" s="8"/>
      <c r="U38" s="8"/>
    </row>
    <row r="39" spans="1:21">
      <c r="A39" s="58"/>
      <c r="B39" s="58"/>
      <c r="C39" s="135">
        <f t="shared" si="8"/>
        <v>41388</v>
      </c>
      <c r="D39" s="38"/>
      <c r="E39" s="35"/>
      <c r="F39" s="36">
        <f t="shared" ref="F39:F70" si="11">ROUND(E39*A39,0)</f>
        <v>0</v>
      </c>
      <c r="G39" s="37">
        <f t="shared" si="2"/>
        <v>0</v>
      </c>
      <c r="H39" s="114" t="str">
        <f t="shared" si="3"/>
        <v>0</v>
      </c>
      <c r="I39" s="114" t="str">
        <f t="shared" si="10"/>
        <v>0</v>
      </c>
      <c r="J39" s="51"/>
      <c r="K39" s="33">
        <f t="shared" ref="K39:K70" si="12">$J$3</f>
        <v>12.037037037037036</v>
      </c>
      <c r="L39" s="33">
        <f t="shared" si="5"/>
        <v>9.2601916100371842</v>
      </c>
      <c r="M39" s="33">
        <f t="shared" si="6"/>
        <v>10.557510576018821</v>
      </c>
      <c r="N39" s="114" t="str">
        <f t="shared" si="7"/>
        <v>0</v>
      </c>
      <c r="O39" s="147"/>
      <c r="P39" s="147"/>
      <c r="Q39" s="147"/>
      <c r="R39" s="147"/>
      <c r="S39" s="148"/>
      <c r="T39" s="8"/>
      <c r="U39" s="8"/>
    </row>
    <row r="40" spans="1:21">
      <c r="A40" s="58"/>
      <c r="B40" s="58"/>
      <c r="C40" s="135">
        <f t="shared" si="8"/>
        <v>41402</v>
      </c>
      <c r="D40" s="38"/>
      <c r="E40" s="35"/>
      <c r="F40" s="36">
        <f t="shared" si="11"/>
        <v>0</v>
      </c>
      <c r="G40" s="37">
        <f t="shared" si="2"/>
        <v>0</v>
      </c>
      <c r="H40" s="114" t="str">
        <f t="shared" ref="H40:H71" si="13">IF($D40=0,"0",(D40-D39)*$A$3)</f>
        <v>0</v>
      </c>
      <c r="I40" s="114" t="str">
        <f t="shared" si="10"/>
        <v>0</v>
      </c>
      <c r="J40" s="51"/>
      <c r="K40" s="33">
        <f t="shared" si="12"/>
        <v>12.037037037037036</v>
      </c>
      <c r="L40" s="33">
        <f t="shared" si="5"/>
        <v>9.2601916100371842</v>
      </c>
      <c r="M40" s="33">
        <f t="shared" si="6"/>
        <v>10.557510576018821</v>
      </c>
      <c r="N40" s="114" t="str">
        <f t="shared" si="7"/>
        <v>0</v>
      </c>
      <c r="O40" s="147"/>
      <c r="P40" s="147"/>
      <c r="Q40" s="147"/>
      <c r="R40" s="147"/>
      <c r="S40" s="148"/>
      <c r="T40" s="8"/>
      <c r="U40" s="8"/>
    </row>
    <row r="41" spans="1:21">
      <c r="A41" s="58"/>
      <c r="B41" s="58"/>
      <c r="C41" s="135">
        <f t="shared" si="8"/>
        <v>41416</v>
      </c>
      <c r="D41" s="38"/>
      <c r="E41" s="35"/>
      <c r="F41" s="36">
        <f t="shared" si="11"/>
        <v>0</v>
      </c>
      <c r="G41" s="37">
        <f t="shared" si="2"/>
        <v>0</v>
      </c>
      <c r="H41" s="114" t="str">
        <f t="shared" si="13"/>
        <v>0</v>
      </c>
      <c r="I41" s="114" t="str">
        <f t="shared" si="10"/>
        <v>0</v>
      </c>
      <c r="J41" s="51"/>
      <c r="K41" s="33">
        <f t="shared" si="12"/>
        <v>12.037037037037036</v>
      </c>
      <c r="L41" s="33">
        <f t="shared" si="5"/>
        <v>9.2601916100371842</v>
      </c>
      <c r="M41" s="33">
        <f t="shared" si="6"/>
        <v>10.557510576018821</v>
      </c>
      <c r="N41" s="114" t="str">
        <f t="shared" si="7"/>
        <v>0</v>
      </c>
      <c r="O41" s="147"/>
      <c r="P41" s="147"/>
      <c r="Q41" s="147"/>
      <c r="R41" s="147"/>
      <c r="S41" s="148"/>
      <c r="T41" s="8"/>
      <c r="U41" s="8"/>
    </row>
    <row r="42" spans="1:21">
      <c r="A42" s="58"/>
      <c r="B42" s="58"/>
      <c r="C42" s="135">
        <f t="shared" si="8"/>
        <v>41430</v>
      </c>
      <c r="D42" s="38"/>
      <c r="E42" s="35"/>
      <c r="F42" s="36">
        <f t="shared" si="11"/>
        <v>0</v>
      </c>
      <c r="G42" s="37">
        <f t="shared" si="2"/>
        <v>0</v>
      </c>
      <c r="H42" s="114" t="str">
        <f t="shared" si="13"/>
        <v>0</v>
      </c>
      <c r="I42" s="114" t="str">
        <f t="shared" si="10"/>
        <v>0</v>
      </c>
      <c r="J42" s="51"/>
      <c r="K42" s="33">
        <f t="shared" si="12"/>
        <v>12.037037037037036</v>
      </c>
      <c r="L42" s="33">
        <f t="shared" si="5"/>
        <v>9.2601916100371842</v>
      </c>
      <c r="M42" s="33">
        <f t="shared" si="6"/>
        <v>10.557510576018821</v>
      </c>
      <c r="N42" s="114" t="str">
        <f t="shared" si="7"/>
        <v>0</v>
      </c>
      <c r="O42" s="147"/>
      <c r="P42" s="147"/>
      <c r="Q42" s="147"/>
      <c r="R42" s="147"/>
      <c r="S42" s="148"/>
      <c r="T42" s="8"/>
      <c r="U42" s="8"/>
    </row>
    <row r="43" spans="1:21">
      <c r="A43" s="58"/>
      <c r="B43" s="58"/>
      <c r="C43" s="135">
        <f t="shared" si="8"/>
        <v>41444</v>
      </c>
      <c r="D43" s="38"/>
      <c r="E43" s="35"/>
      <c r="F43" s="36">
        <f t="shared" si="11"/>
        <v>0</v>
      </c>
      <c r="G43" s="37">
        <f t="shared" si="2"/>
        <v>0</v>
      </c>
      <c r="H43" s="114" t="str">
        <f t="shared" si="13"/>
        <v>0</v>
      </c>
      <c r="I43" s="114" t="str">
        <f t="shared" si="10"/>
        <v>0</v>
      </c>
      <c r="J43" s="51"/>
      <c r="K43" s="33">
        <f t="shared" si="12"/>
        <v>12.037037037037036</v>
      </c>
      <c r="L43" s="33">
        <f t="shared" si="5"/>
        <v>9.2601916100371842</v>
      </c>
      <c r="M43" s="33">
        <f t="shared" si="6"/>
        <v>10.557510576018821</v>
      </c>
      <c r="N43" s="114" t="str">
        <f t="shared" si="7"/>
        <v>0</v>
      </c>
      <c r="O43" s="147"/>
      <c r="P43" s="147"/>
      <c r="Q43" s="147"/>
      <c r="R43" s="147"/>
      <c r="S43" s="148"/>
      <c r="T43" s="8"/>
      <c r="U43" s="8"/>
    </row>
    <row r="44" spans="1:21">
      <c r="A44" s="58"/>
      <c r="B44" s="58"/>
      <c r="C44" s="135">
        <f t="shared" si="8"/>
        <v>41458</v>
      </c>
      <c r="D44" s="38"/>
      <c r="E44" s="35"/>
      <c r="F44" s="36">
        <f t="shared" si="11"/>
        <v>0</v>
      </c>
      <c r="G44" s="37">
        <f t="shared" si="2"/>
        <v>0</v>
      </c>
      <c r="H44" s="114" t="str">
        <f t="shared" si="13"/>
        <v>0</v>
      </c>
      <c r="I44" s="114" t="str">
        <f t="shared" si="10"/>
        <v>0</v>
      </c>
      <c r="J44" s="51"/>
      <c r="K44" s="33">
        <f t="shared" si="12"/>
        <v>12.037037037037036</v>
      </c>
      <c r="L44" s="33">
        <f t="shared" si="5"/>
        <v>9.2601916100371842</v>
      </c>
      <c r="M44" s="33">
        <f t="shared" si="6"/>
        <v>10.557510576018821</v>
      </c>
      <c r="N44" s="114" t="str">
        <f t="shared" si="7"/>
        <v>0</v>
      </c>
      <c r="O44" s="147"/>
      <c r="P44" s="147"/>
      <c r="Q44" s="147"/>
      <c r="R44" s="147"/>
      <c r="S44" s="148"/>
      <c r="T44" s="8"/>
      <c r="U44" s="8"/>
    </row>
    <row r="45" spans="1:21">
      <c r="A45" s="58"/>
      <c r="B45" s="58"/>
      <c r="C45" s="135">
        <f t="shared" si="8"/>
        <v>41472</v>
      </c>
      <c r="D45" s="38"/>
      <c r="E45" s="35"/>
      <c r="F45" s="36">
        <f t="shared" si="11"/>
        <v>0</v>
      </c>
      <c r="G45" s="37">
        <f t="shared" si="2"/>
        <v>0</v>
      </c>
      <c r="H45" s="114" t="str">
        <f t="shared" si="13"/>
        <v>0</v>
      </c>
      <c r="I45" s="114" t="str">
        <f t="shared" si="10"/>
        <v>0</v>
      </c>
      <c r="J45" s="51"/>
      <c r="K45" s="33">
        <f t="shared" si="12"/>
        <v>12.037037037037036</v>
      </c>
      <c r="L45" s="33">
        <f t="shared" si="5"/>
        <v>9.2601916100371842</v>
      </c>
      <c r="M45" s="33">
        <f t="shared" si="6"/>
        <v>10.557510576018821</v>
      </c>
      <c r="N45" s="114" t="str">
        <f t="shared" si="7"/>
        <v>0</v>
      </c>
      <c r="O45" s="147"/>
      <c r="P45" s="147"/>
      <c r="Q45" s="147"/>
      <c r="R45" s="147"/>
      <c r="S45" s="148"/>
      <c r="T45" s="8"/>
      <c r="U45" s="8"/>
    </row>
    <row r="46" spans="1:21">
      <c r="A46" s="58"/>
      <c r="B46" s="58"/>
      <c r="C46" s="135">
        <f t="shared" si="8"/>
        <v>41486</v>
      </c>
      <c r="D46" s="38"/>
      <c r="E46" s="35"/>
      <c r="F46" s="36">
        <f t="shared" si="11"/>
        <v>0</v>
      </c>
      <c r="G46" s="37">
        <f t="shared" si="2"/>
        <v>0</v>
      </c>
      <c r="H46" s="114" t="str">
        <f t="shared" si="13"/>
        <v>0</v>
      </c>
      <c r="I46" s="114" t="str">
        <f t="shared" si="10"/>
        <v>0</v>
      </c>
      <c r="J46" s="51"/>
      <c r="K46" s="33">
        <f t="shared" si="12"/>
        <v>12.037037037037036</v>
      </c>
      <c r="L46" s="33">
        <f t="shared" si="5"/>
        <v>9.2601916100371842</v>
      </c>
      <c r="M46" s="33">
        <f t="shared" si="6"/>
        <v>10.557510576018821</v>
      </c>
      <c r="N46" s="114" t="str">
        <f t="shared" si="7"/>
        <v>0</v>
      </c>
      <c r="O46" s="147"/>
      <c r="P46" s="147"/>
      <c r="Q46" s="147"/>
      <c r="R46" s="147"/>
      <c r="S46" s="148"/>
      <c r="T46" s="8"/>
      <c r="U46" s="8"/>
    </row>
    <row r="47" spans="1:21">
      <c r="A47" s="58"/>
      <c r="B47" s="58"/>
      <c r="C47" s="135">
        <f t="shared" si="8"/>
        <v>41500</v>
      </c>
      <c r="D47" s="38"/>
      <c r="E47" s="35"/>
      <c r="F47" s="36">
        <f t="shared" si="11"/>
        <v>0</v>
      </c>
      <c r="G47" s="37">
        <f t="shared" si="2"/>
        <v>0</v>
      </c>
      <c r="H47" s="114" t="str">
        <f t="shared" si="13"/>
        <v>0</v>
      </c>
      <c r="I47" s="114" t="str">
        <f t="shared" si="10"/>
        <v>0</v>
      </c>
      <c r="J47" s="51"/>
      <c r="K47" s="33">
        <f t="shared" si="12"/>
        <v>12.037037037037036</v>
      </c>
      <c r="L47" s="33">
        <f t="shared" si="5"/>
        <v>9.2601916100371842</v>
      </c>
      <c r="M47" s="33">
        <f t="shared" si="6"/>
        <v>10.557510576018821</v>
      </c>
      <c r="N47" s="114" t="str">
        <f t="shared" si="7"/>
        <v>0</v>
      </c>
      <c r="O47" s="147"/>
      <c r="P47" s="147"/>
      <c r="Q47" s="147"/>
      <c r="R47" s="147"/>
      <c r="S47" s="148"/>
      <c r="T47" s="8"/>
      <c r="U47" s="8"/>
    </row>
    <row r="48" spans="1:21">
      <c r="A48" s="58"/>
      <c r="B48" s="58"/>
      <c r="C48" s="135">
        <f t="shared" si="8"/>
        <v>41514</v>
      </c>
      <c r="D48" s="38"/>
      <c r="E48" s="35"/>
      <c r="F48" s="36">
        <f t="shared" si="11"/>
        <v>0</v>
      </c>
      <c r="G48" s="37">
        <f t="shared" si="2"/>
        <v>0</v>
      </c>
      <c r="H48" s="114" t="str">
        <f t="shared" si="13"/>
        <v>0</v>
      </c>
      <c r="I48" s="114" t="str">
        <f t="shared" si="10"/>
        <v>0</v>
      </c>
      <c r="J48" s="51"/>
      <c r="K48" s="33">
        <f t="shared" si="12"/>
        <v>12.037037037037036</v>
      </c>
      <c r="L48" s="33">
        <f t="shared" si="5"/>
        <v>9.2601916100371842</v>
      </c>
      <c r="M48" s="33">
        <f t="shared" si="6"/>
        <v>10.557510576018821</v>
      </c>
      <c r="N48" s="114" t="str">
        <f t="shared" si="7"/>
        <v>0</v>
      </c>
      <c r="O48" s="147"/>
      <c r="P48" s="147"/>
      <c r="Q48" s="147"/>
      <c r="R48" s="147"/>
      <c r="S48" s="148"/>
      <c r="T48" s="8"/>
      <c r="U48" s="8"/>
    </row>
    <row r="49" spans="1:21">
      <c r="A49" s="58"/>
      <c r="B49" s="58"/>
      <c r="C49" s="135">
        <f t="shared" si="8"/>
        <v>41528</v>
      </c>
      <c r="D49" s="38"/>
      <c r="E49" s="35"/>
      <c r="F49" s="36">
        <f t="shared" si="11"/>
        <v>0</v>
      </c>
      <c r="G49" s="37">
        <f t="shared" si="2"/>
        <v>0</v>
      </c>
      <c r="H49" s="114" t="str">
        <f t="shared" si="13"/>
        <v>0</v>
      </c>
      <c r="I49" s="114" t="str">
        <f t="shared" si="10"/>
        <v>0</v>
      </c>
      <c r="J49" s="51"/>
      <c r="K49" s="33">
        <f t="shared" si="12"/>
        <v>12.037037037037036</v>
      </c>
      <c r="L49" s="33">
        <f t="shared" si="5"/>
        <v>9.2601916100371842</v>
      </c>
      <c r="M49" s="33">
        <f t="shared" si="6"/>
        <v>10.557510576018821</v>
      </c>
      <c r="N49" s="114" t="str">
        <f t="shared" si="7"/>
        <v>0</v>
      </c>
      <c r="O49" s="147"/>
      <c r="P49" s="147"/>
      <c r="Q49" s="147"/>
      <c r="R49" s="147"/>
      <c r="S49" s="148"/>
      <c r="T49" s="8"/>
      <c r="U49" s="8"/>
    </row>
    <row r="50" spans="1:21">
      <c r="A50" s="58"/>
      <c r="B50" s="58"/>
      <c r="C50" s="135">
        <f t="shared" si="8"/>
        <v>41542</v>
      </c>
      <c r="D50" s="38"/>
      <c r="E50" s="35"/>
      <c r="F50" s="36">
        <f t="shared" si="11"/>
        <v>0</v>
      </c>
      <c r="G50" s="37">
        <f t="shared" si="2"/>
        <v>0</v>
      </c>
      <c r="H50" s="114" t="str">
        <f t="shared" si="13"/>
        <v>0</v>
      </c>
      <c r="I50" s="114" t="str">
        <f t="shared" si="10"/>
        <v>0</v>
      </c>
      <c r="J50" s="51"/>
      <c r="K50" s="33">
        <f t="shared" si="12"/>
        <v>12.037037037037036</v>
      </c>
      <c r="L50" s="33">
        <f t="shared" si="5"/>
        <v>9.2601916100371842</v>
      </c>
      <c r="M50" s="33">
        <f t="shared" si="6"/>
        <v>10.557510576018821</v>
      </c>
      <c r="N50" s="114" t="str">
        <f t="shared" si="7"/>
        <v>0</v>
      </c>
      <c r="O50" s="147"/>
      <c r="P50" s="147"/>
      <c r="Q50" s="147"/>
      <c r="R50" s="147"/>
      <c r="S50" s="148"/>
      <c r="T50" s="8"/>
      <c r="U50" s="8"/>
    </row>
    <row r="51" spans="1:21">
      <c r="A51" s="58"/>
      <c r="B51" s="58"/>
      <c r="C51" s="135">
        <f t="shared" si="8"/>
        <v>41556</v>
      </c>
      <c r="D51" s="38"/>
      <c r="E51" s="35"/>
      <c r="F51" s="36">
        <f t="shared" si="11"/>
        <v>0</v>
      </c>
      <c r="G51" s="37">
        <f t="shared" si="2"/>
        <v>0</v>
      </c>
      <c r="H51" s="114" t="str">
        <f t="shared" si="13"/>
        <v>0</v>
      </c>
      <c r="I51" s="114" t="str">
        <f t="shared" si="10"/>
        <v>0</v>
      </c>
      <c r="J51" s="51"/>
      <c r="K51" s="33">
        <f t="shared" si="12"/>
        <v>12.037037037037036</v>
      </c>
      <c r="L51" s="33">
        <f t="shared" si="5"/>
        <v>9.2601916100371842</v>
      </c>
      <c r="M51" s="33">
        <f t="shared" si="6"/>
        <v>10.557510576018821</v>
      </c>
      <c r="N51" s="114" t="str">
        <f t="shared" si="7"/>
        <v>0</v>
      </c>
      <c r="O51" s="147"/>
      <c r="P51" s="147"/>
      <c r="Q51" s="147"/>
      <c r="R51" s="147"/>
      <c r="S51" s="148"/>
      <c r="T51" s="8"/>
      <c r="U51" s="8"/>
    </row>
    <row r="52" spans="1:21">
      <c r="A52" s="58"/>
      <c r="B52" s="58"/>
      <c r="C52" s="135">
        <f t="shared" si="8"/>
        <v>41570</v>
      </c>
      <c r="D52" s="38"/>
      <c r="E52" s="35"/>
      <c r="F52" s="36">
        <f t="shared" si="11"/>
        <v>0</v>
      </c>
      <c r="G52" s="37">
        <f t="shared" si="2"/>
        <v>0</v>
      </c>
      <c r="H52" s="114" t="str">
        <f t="shared" si="13"/>
        <v>0</v>
      </c>
      <c r="I52" s="114" t="str">
        <f t="shared" si="10"/>
        <v>0</v>
      </c>
      <c r="J52" s="51"/>
      <c r="K52" s="33">
        <f t="shared" si="12"/>
        <v>12.037037037037036</v>
      </c>
      <c r="L52" s="33">
        <f t="shared" si="5"/>
        <v>9.2601916100371842</v>
      </c>
      <c r="M52" s="33">
        <f t="shared" si="6"/>
        <v>10.557510576018821</v>
      </c>
      <c r="N52" s="114" t="str">
        <f t="shared" si="7"/>
        <v>0</v>
      </c>
      <c r="O52" s="147"/>
      <c r="P52" s="147"/>
      <c r="Q52" s="147"/>
      <c r="R52" s="147"/>
      <c r="S52" s="148"/>
      <c r="T52" s="8"/>
      <c r="U52" s="8"/>
    </row>
    <row r="53" spans="1:21">
      <c r="A53" s="58"/>
      <c r="B53" s="58"/>
      <c r="C53" s="135">
        <f t="shared" si="8"/>
        <v>41584</v>
      </c>
      <c r="D53" s="38"/>
      <c r="E53" s="35"/>
      <c r="F53" s="36">
        <f t="shared" si="11"/>
        <v>0</v>
      </c>
      <c r="G53" s="37">
        <f t="shared" si="2"/>
        <v>0</v>
      </c>
      <c r="H53" s="114" t="str">
        <f t="shared" si="13"/>
        <v>0</v>
      </c>
      <c r="I53" s="114" t="str">
        <f t="shared" si="10"/>
        <v>0</v>
      </c>
      <c r="J53" s="51"/>
      <c r="K53" s="33">
        <f t="shared" si="12"/>
        <v>12.037037037037036</v>
      </c>
      <c r="L53" s="33">
        <f t="shared" si="5"/>
        <v>9.2601916100371842</v>
      </c>
      <c r="M53" s="33">
        <f t="shared" si="6"/>
        <v>10.557510576018821</v>
      </c>
      <c r="N53" s="114" t="str">
        <f t="shared" si="7"/>
        <v>0</v>
      </c>
      <c r="O53" s="147"/>
      <c r="P53" s="147"/>
      <c r="Q53" s="147"/>
      <c r="R53" s="147"/>
      <c r="S53" s="148"/>
      <c r="T53" s="8"/>
      <c r="U53" s="8"/>
    </row>
    <row r="54" spans="1:21">
      <c r="A54" s="58"/>
      <c r="B54" s="58"/>
      <c r="C54" s="135">
        <f t="shared" si="8"/>
        <v>41598</v>
      </c>
      <c r="D54" s="38"/>
      <c r="E54" s="35"/>
      <c r="F54" s="36">
        <f t="shared" si="11"/>
        <v>0</v>
      </c>
      <c r="G54" s="37">
        <f t="shared" si="2"/>
        <v>0</v>
      </c>
      <c r="H54" s="114" t="str">
        <f t="shared" si="13"/>
        <v>0</v>
      </c>
      <c r="I54" s="114" t="str">
        <f t="shared" si="10"/>
        <v>0</v>
      </c>
      <c r="J54" s="51"/>
      <c r="K54" s="33">
        <f t="shared" si="12"/>
        <v>12.037037037037036</v>
      </c>
      <c r="L54" s="33">
        <f t="shared" si="5"/>
        <v>9.2601916100371842</v>
      </c>
      <c r="M54" s="33">
        <f t="shared" si="6"/>
        <v>10.557510576018821</v>
      </c>
      <c r="N54" s="114" t="str">
        <f t="shared" si="7"/>
        <v>0</v>
      </c>
      <c r="O54" s="147"/>
      <c r="P54" s="147"/>
      <c r="Q54" s="147"/>
      <c r="R54" s="147"/>
      <c r="S54" s="148"/>
      <c r="T54" s="8"/>
      <c r="U54" s="8"/>
    </row>
    <row r="55" spans="1:21">
      <c r="A55" s="58"/>
      <c r="B55" s="58"/>
      <c r="C55" s="135">
        <f t="shared" si="8"/>
        <v>41612</v>
      </c>
      <c r="D55" s="38"/>
      <c r="E55" s="35"/>
      <c r="F55" s="36">
        <f t="shared" si="11"/>
        <v>0</v>
      </c>
      <c r="G55" s="37">
        <f t="shared" si="2"/>
        <v>0</v>
      </c>
      <c r="H55" s="114" t="str">
        <f t="shared" si="13"/>
        <v>0</v>
      </c>
      <c r="I55" s="114" t="str">
        <f t="shared" si="10"/>
        <v>0</v>
      </c>
      <c r="J55" s="51"/>
      <c r="K55" s="33">
        <f t="shared" si="12"/>
        <v>12.037037037037036</v>
      </c>
      <c r="L55" s="33">
        <f t="shared" si="5"/>
        <v>9.2601916100371842</v>
      </c>
      <c r="M55" s="33">
        <f t="shared" si="6"/>
        <v>10.557510576018821</v>
      </c>
      <c r="N55" s="114" t="str">
        <f t="shared" si="7"/>
        <v>0</v>
      </c>
      <c r="O55" s="147"/>
      <c r="P55" s="147"/>
      <c r="Q55" s="147"/>
      <c r="R55" s="147"/>
      <c r="S55" s="148"/>
      <c r="T55" s="8"/>
      <c r="U55" s="8"/>
    </row>
    <row r="56" spans="1:21">
      <c r="A56" s="58"/>
      <c r="B56" s="58"/>
      <c r="C56" s="135">
        <f t="shared" si="8"/>
        <v>41626</v>
      </c>
      <c r="D56" s="38"/>
      <c r="E56" s="35"/>
      <c r="F56" s="36">
        <f t="shared" si="11"/>
        <v>0</v>
      </c>
      <c r="G56" s="37">
        <f t="shared" si="2"/>
        <v>0</v>
      </c>
      <c r="H56" s="114" t="str">
        <f t="shared" si="13"/>
        <v>0</v>
      </c>
      <c r="I56" s="114" t="str">
        <f t="shared" si="10"/>
        <v>0</v>
      </c>
      <c r="J56" s="51"/>
      <c r="K56" s="33">
        <f t="shared" si="12"/>
        <v>12.037037037037036</v>
      </c>
      <c r="L56" s="33">
        <f t="shared" si="5"/>
        <v>9.2601916100371842</v>
      </c>
      <c r="M56" s="33">
        <f t="shared" si="6"/>
        <v>10.557510576018821</v>
      </c>
      <c r="N56" s="114" t="str">
        <f t="shared" si="7"/>
        <v>0</v>
      </c>
      <c r="O56" s="147"/>
      <c r="P56" s="147"/>
      <c r="Q56" s="147"/>
      <c r="R56" s="147"/>
      <c r="S56" s="148"/>
      <c r="T56" s="8"/>
      <c r="U56" s="8"/>
    </row>
    <row r="57" spans="1:21">
      <c r="A57" s="58"/>
      <c r="B57" s="58"/>
      <c r="C57" s="135">
        <f t="shared" si="8"/>
        <v>41640</v>
      </c>
      <c r="D57" s="38"/>
      <c r="E57" s="35"/>
      <c r="F57" s="36">
        <f t="shared" si="11"/>
        <v>0</v>
      </c>
      <c r="G57" s="37">
        <f t="shared" si="2"/>
        <v>0</v>
      </c>
      <c r="H57" s="114" t="str">
        <f t="shared" si="13"/>
        <v>0</v>
      </c>
      <c r="I57" s="114" t="str">
        <f t="shared" si="10"/>
        <v>0</v>
      </c>
      <c r="J57" s="51"/>
      <c r="K57" s="33">
        <f t="shared" si="12"/>
        <v>12.037037037037036</v>
      </c>
      <c r="L57" s="33">
        <f t="shared" si="5"/>
        <v>9.2601916100371842</v>
      </c>
      <c r="M57" s="33">
        <f t="shared" si="6"/>
        <v>10.557510576018821</v>
      </c>
      <c r="N57" s="114" t="str">
        <f t="shared" si="7"/>
        <v>0</v>
      </c>
      <c r="O57" s="147"/>
      <c r="P57" s="147"/>
      <c r="Q57" s="147"/>
      <c r="R57" s="147"/>
      <c r="S57" s="148"/>
      <c r="T57" s="8"/>
      <c r="U57" s="8"/>
    </row>
    <row r="58" spans="1:21">
      <c r="A58" s="58"/>
      <c r="B58" s="58"/>
      <c r="C58" s="135">
        <f t="shared" si="8"/>
        <v>41654</v>
      </c>
      <c r="D58" s="38"/>
      <c r="E58" s="35"/>
      <c r="F58" s="36">
        <f t="shared" si="11"/>
        <v>0</v>
      </c>
      <c r="G58" s="37">
        <f t="shared" si="2"/>
        <v>0</v>
      </c>
      <c r="H58" s="114" t="str">
        <f t="shared" si="13"/>
        <v>0</v>
      </c>
      <c r="I58" s="114" t="str">
        <f t="shared" si="10"/>
        <v>0</v>
      </c>
      <c r="J58" s="51"/>
      <c r="K58" s="33">
        <f t="shared" si="12"/>
        <v>12.037037037037036</v>
      </c>
      <c r="L58" s="33">
        <f t="shared" si="5"/>
        <v>9.2601916100371842</v>
      </c>
      <c r="M58" s="33">
        <f t="shared" si="6"/>
        <v>10.557510576018821</v>
      </c>
      <c r="N58" s="114" t="str">
        <f t="shared" si="7"/>
        <v>0</v>
      </c>
      <c r="O58" s="147"/>
      <c r="P58" s="147"/>
      <c r="Q58" s="147"/>
      <c r="R58" s="147"/>
      <c r="S58" s="148"/>
      <c r="T58" s="8"/>
      <c r="U58" s="8"/>
    </row>
    <row r="59" spans="1:21">
      <c r="A59" s="58"/>
      <c r="B59" s="58"/>
      <c r="C59" s="135">
        <f t="shared" si="8"/>
        <v>41668</v>
      </c>
      <c r="D59" s="38"/>
      <c r="E59" s="35"/>
      <c r="F59" s="36">
        <f t="shared" si="11"/>
        <v>0</v>
      </c>
      <c r="G59" s="37">
        <f t="shared" si="2"/>
        <v>0</v>
      </c>
      <c r="H59" s="114" t="str">
        <f t="shared" si="13"/>
        <v>0</v>
      </c>
      <c r="I59" s="114" t="str">
        <f t="shared" si="10"/>
        <v>0</v>
      </c>
      <c r="J59" s="51"/>
      <c r="K59" s="33">
        <f t="shared" si="12"/>
        <v>12.037037037037036</v>
      </c>
      <c r="L59" s="33">
        <f t="shared" si="5"/>
        <v>9.2601916100371842</v>
      </c>
      <c r="M59" s="33">
        <f t="shared" si="6"/>
        <v>10.557510576018821</v>
      </c>
      <c r="N59" s="114" t="str">
        <f t="shared" si="7"/>
        <v>0</v>
      </c>
      <c r="O59" s="147"/>
      <c r="P59" s="147"/>
      <c r="Q59" s="147"/>
      <c r="R59" s="147"/>
      <c r="S59" s="148"/>
      <c r="T59" s="8"/>
      <c r="U59" s="8"/>
    </row>
    <row r="60" spans="1:21">
      <c r="A60" s="58"/>
      <c r="B60" s="58"/>
      <c r="C60" s="136">
        <f t="shared" si="8"/>
        <v>41682</v>
      </c>
      <c r="D60" s="38"/>
      <c r="E60" s="35"/>
      <c r="F60" s="36">
        <f t="shared" si="11"/>
        <v>0</v>
      </c>
      <c r="G60" s="37">
        <f t="shared" si="2"/>
        <v>0</v>
      </c>
      <c r="H60" s="114" t="str">
        <f t="shared" si="13"/>
        <v>0</v>
      </c>
      <c r="I60" s="114" t="str">
        <f t="shared" si="10"/>
        <v>0</v>
      </c>
      <c r="J60" s="51"/>
      <c r="K60" s="33">
        <f t="shared" si="12"/>
        <v>12.037037037037036</v>
      </c>
      <c r="L60" s="33">
        <f t="shared" si="5"/>
        <v>9.2601916100371842</v>
      </c>
      <c r="M60" s="33">
        <f t="shared" si="6"/>
        <v>10.557510576018821</v>
      </c>
      <c r="N60" s="114" t="str">
        <f t="shared" si="7"/>
        <v>0</v>
      </c>
      <c r="O60" s="147"/>
      <c r="P60" s="147"/>
      <c r="Q60" s="147"/>
      <c r="R60" s="147"/>
      <c r="S60" s="148"/>
      <c r="T60" s="8"/>
      <c r="U60" s="8"/>
    </row>
    <row r="61" spans="1:21">
      <c r="A61" s="58"/>
      <c r="B61" s="58"/>
      <c r="C61" s="136">
        <f t="shared" si="8"/>
        <v>41696</v>
      </c>
      <c r="D61" s="38"/>
      <c r="E61" s="35"/>
      <c r="F61" s="36">
        <f t="shared" si="11"/>
        <v>0</v>
      </c>
      <c r="G61" s="37">
        <f t="shared" si="2"/>
        <v>0</v>
      </c>
      <c r="H61" s="114" t="str">
        <f t="shared" si="13"/>
        <v>0</v>
      </c>
      <c r="I61" s="114" t="str">
        <f t="shared" si="10"/>
        <v>0</v>
      </c>
      <c r="J61" s="51"/>
      <c r="K61" s="33">
        <f t="shared" si="12"/>
        <v>12.037037037037036</v>
      </c>
      <c r="L61" s="33">
        <f t="shared" si="5"/>
        <v>9.2601916100371842</v>
      </c>
      <c r="M61" s="33">
        <f t="shared" si="6"/>
        <v>10.557510576018821</v>
      </c>
      <c r="N61" s="114" t="str">
        <f t="shared" si="7"/>
        <v>0</v>
      </c>
      <c r="O61" s="147"/>
      <c r="P61" s="147"/>
      <c r="Q61" s="147"/>
      <c r="R61" s="147"/>
      <c r="S61" s="148"/>
      <c r="T61" s="8"/>
      <c r="U61" s="8"/>
    </row>
    <row r="62" spans="1:21">
      <c r="A62" s="58"/>
      <c r="B62" s="58"/>
      <c r="C62" s="136">
        <f t="shared" si="8"/>
        <v>41710</v>
      </c>
      <c r="D62" s="38"/>
      <c r="E62" s="35"/>
      <c r="F62" s="36">
        <f t="shared" si="11"/>
        <v>0</v>
      </c>
      <c r="G62" s="37">
        <f t="shared" si="2"/>
        <v>0</v>
      </c>
      <c r="H62" s="114" t="str">
        <f t="shared" si="13"/>
        <v>0</v>
      </c>
      <c r="I62" s="114" t="str">
        <f t="shared" si="10"/>
        <v>0</v>
      </c>
      <c r="J62" s="51"/>
      <c r="K62" s="33">
        <f t="shared" si="12"/>
        <v>12.037037037037036</v>
      </c>
      <c r="L62" s="33">
        <f t="shared" si="5"/>
        <v>9.2601916100371842</v>
      </c>
      <c r="M62" s="33">
        <f t="shared" si="6"/>
        <v>10.557510576018821</v>
      </c>
      <c r="N62" s="114" t="str">
        <f t="shared" si="7"/>
        <v>0</v>
      </c>
      <c r="O62" s="147"/>
      <c r="P62" s="147"/>
      <c r="Q62" s="147"/>
      <c r="R62" s="147"/>
      <c r="S62" s="148"/>
      <c r="T62" s="8"/>
      <c r="U62" s="8"/>
    </row>
    <row r="63" spans="1:21">
      <c r="A63" s="58"/>
      <c r="B63" s="58"/>
      <c r="C63" s="136">
        <f t="shared" si="8"/>
        <v>41724</v>
      </c>
      <c r="D63" s="38"/>
      <c r="E63" s="35"/>
      <c r="F63" s="36">
        <f t="shared" si="11"/>
        <v>0</v>
      </c>
      <c r="G63" s="37">
        <f t="shared" si="2"/>
        <v>0</v>
      </c>
      <c r="H63" s="114" t="str">
        <f t="shared" si="13"/>
        <v>0</v>
      </c>
      <c r="I63" s="114" t="str">
        <f t="shared" si="10"/>
        <v>0</v>
      </c>
      <c r="J63" s="51"/>
      <c r="K63" s="33">
        <f t="shared" si="12"/>
        <v>12.037037037037036</v>
      </c>
      <c r="L63" s="33">
        <f t="shared" si="5"/>
        <v>9.2601916100371842</v>
      </c>
      <c r="M63" s="33">
        <f t="shared" si="6"/>
        <v>10.557510576018821</v>
      </c>
      <c r="N63" s="114" t="str">
        <f t="shared" si="7"/>
        <v>0</v>
      </c>
      <c r="O63" s="147"/>
      <c r="P63" s="147"/>
      <c r="Q63" s="147"/>
      <c r="R63" s="147"/>
      <c r="S63" s="148"/>
      <c r="T63" s="8"/>
      <c r="U63" s="8"/>
    </row>
    <row r="64" spans="1:21">
      <c r="A64" s="58"/>
      <c r="B64" s="58"/>
      <c r="C64" s="136">
        <f t="shared" si="8"/>
        <v>41738</v>
      </c>
      <c r="D64" s="38"/>
      <c r="E64" s="35"/>
      <c r="F64" s="36">
        <f t="shared" si="11"/>
        <v>0</v>
      </c>
      <c r="G64" s="37">
        <f t="shared" si="2"/>
        <v>0</v>
      </c>
      <c r="H64" s="114" t="str">
        <f t="shared" si="13"/>
        <v>0</v>
      </c>
      <c r="I64" s="114" t="str">
        <f t="shared" si="10"/>
        <v>0</v>
      </c>
      <c r="J64" s="51"/>
      <c r="K64" s="33">
        <f t="shared" si="12"/>
        <v>12.037037037037036</v>
      </c>
      <c r="L64" s="33">
        <f t="shared" si="5"/>
        <v>9.2601916100371842</v>
      </c>
      <c r="M64" s="33">
        <f t="shared" si="6"/>
        <v>10.557510576018821</v>
      </c>
      <c r="N64" s="114" t="str">
        <f t="shared" si="7"/>
        <v>0</v>
      </c>
      <c r="O64" s="147"/>
      <c r="P64" s="147"/>
      <c r="Q64" s="147"/>
      <c r="R64" s="147"/>
      <c r="S64" s="148"/>
      <c r="T64" s="8"/>
      <c r="U64" s="8"/>
    </row>
    <row r="65" spans="1:21">
      <c r="A65" s="58"/>
      <c r="B65" s="58"/>
      <c r="C65" s="136">
        <f t="shared" si="8"/>
        <v>41752</v>
      </c>
      <c r="D65" s="38"/>
      <c r="E65" s="35"/>
      <c r="F65" s="36">
        <f t="shared" si="11"/>
        <v>0</v>
      </c>
      <c r="G65" s="37">
        <f t="shared" si="2"/>
        <v>0</v>
      </c>
      <c r="H65" s="114" t="str">
        <f t="shared" si="13"/>
        <v>0</v>
      </c>
      <c r="I65" s="114" t="str">
        <f t="shared" si="10"/>
        <v>0</v>
      </c>
      <c r="J65" s="51"/>
      <c r="K65" s="33">
        <f t="shared" si="12"/>
        <v>12.037037037037036</v>
      </c>
      <c r="L65" s="33">
        <f t="shared" si="5"/>
        <v>9.2601916100371842</v>
      </c>
      <c r="M65" s="33">
        <f t="shared" si="6"/>
        <v>10.557510576018821</v>
      </c>
      <c r="N65" s="114" t="str">
        <f t="shared" si="7"/>
        <v>0</v>
      </c>
      <c r="O65" s="147"/>
      <c r="P65" s="147"/>
      <c r="Q65" s="147"/>
      <c r="R65" s="147"/>
      <c r="S65" s="148"/>
      <c r="T65" s="8"/>
      <c r="U65" s="8"/>
    </row>
    <row r="66" spans="1:21">
      <c r="A66" s="58"/>
      <c r="B66" s="58"/>
      <c r="C66" s="136">
        <f t="shared" si="8"/>
        <v>41766</v>
      </c>
      <c r="D66" s="38"/>
      <c r="E66" s="35"/>
      <c r="F66" s="36">
        <f t="shared" si="11"/>
        <v>0</v>
      </c>
      <c r="G66" s="37">
        <f t="shared" si="2"/>
        <v>0</v>
      </c>
      <c r="H66" s="114" t="str">
        <f t="shared" si="13"/>
        <v>0</v>
      </c>
      <c r="I66" s="114" t="str">
        <f t="shared" si="10"/>
        <v>0</v>
      </c>
      <c r="J66" s="51"/>
      <c r="K66" s="33">
        <f t="shared" si="12"/>
        <v>12.037037037037036</v>
      </c>
      <c r="L66" s="33">
        <f t="shared" si="5"/>
        <v>9.2601916100371842</v>
      </c>
      <c r="M66" s="33">
        <f t="shared" si="6"/>
        <v>10.557510576018821</v>
      </c>
      <c r="N66" s="114" t="str">
        <f t="shared" si="7"/>
        <v>0</v>
      </c>
      <c r="O66" s="147"/>
      <c r="P66" s="147"/>
      <c r="Q66" s="147"/>
      <c r="R66" s="147"/>
      <c r="S66" s="148"/>
      <c r="T66" s="8"/>
      <c r="U66" s="8"/>
    </row>
    <row r="67" spans="1:21">
      <c r="A67" s="58"/>
      <c r="B67" s="58"/>
      <c r="C67" s="136">
        <f t="shared" si="8"/>
        <v>41780</v>
      </c>
      <c r="D67" s="38"/>
      <c r="E67" s="35"/>
      <c r="F67" s="36">
        <f t="shared" si="11"/>
        <v>0</v>
      </c>
      <c r="G67" s="37">
        <f t="shared" si="2"/>
        <v>0</v>
      </c>
      <c r="H67" s="114" t="str">
        <f t="shared" si="13"/>
        <v>0</v>
      </c>
      <c r="I67" s="114" t="str">
        <f t="shared" si="10"/>
        <v>0</v>
      </c>
      <c r="J67" s="51"/>
      <c r="K67" s="33">
        <f t="shared" si="12"/>
        <v>12.037037037037036</v>
      </c>
      <c r="L67" s="33">
        <f t="shared" si="5"/>
        <v>9.2601916100371842</v>
      </c>
      <c r="M67" s="33">
        <f t="shared" si="6"/>
        <v>10.557510576018821</v>
      </c>
      <c r="N67" s="114" t="str">
        <f t="shared" si="7"/>
        <v>0</v>
      </c>
      <c r="O67" s="147"/>
      <c r="P67" s="147"/>
      <c r="Q67" s="147"/>
      <c r="R67" s="147"/>
      <c r="S67" s="148"/>
      <c r="T67" s="8"/>
      <c r="U67" s="8"/>
    </row>
    <row r="68" spans="1:21">
      <c r="A68" s="58"/>
      <c r="B68" s="58"/>
      <c r="C68" s="136">
        <f t="shared" si="8"/>
        <v>41794</v>
      </c>
      <c r="D68" s="38"/>
      <c r="E68" s="35"/>
      <c r="F68" s="36">
        <f t="shared" si="11"/>
        <v>0</v>
      </c>
      <c r="G68" s="37">
        <f t="shared" si="2"/>
        <v>0</v>
      </c>
      <c r="H68" s="114" t="str">
        <f t="shared" si="13"/>
        <v>0</v>
      </c>
      <c r="I68" s="114" t="str">
        <f t="shared" si="10"/>
        <v>0</v>
      </c>
      <c r="J68" s="51"/>
      <c r="K68" s="33">
        <f t="shared" si="12"/>
        <v>12.037037037037036</v>
      </c>
      <c r="L68" s="33">
        <f t="shared" si="5"/>
        <v>9.2601916100371842</v>
      </c>
      <c r="M68" s="33">
        <f t="shared" si="6"/>
        <v>10.557510576018821</v>
      </c>
      <c r="N68" s="114" t="str">
        <f t="shared" si="7"/>
        <v>0</v>
      </c>
      <c r="O68" s="147"/>
      <c r="P68" s="147"/>
      <c r="Q68" s="147"/>
      <c r="R68" s="147"/>
      <c r="S68" s="148"/>
      <c r="T68" s="8"/>
      <c r="U68" s="8"/>
    </row>
    <row r="69" spans="1:21">
      <c r="A69" s="58"/>
      <c r="B69" s="58"/>
      <c r="C69" s="136">
        <f t="shared" si="8"/>
        <v>41808</v>
      </c>
      <c r="D69" s="38"/>
      <c r="E69" s="35"/>
      <c r="F69" s="36">
        <f t="shared" si="11"/>
        <v>0</v>
      </c>
      <c r="G69" s="37">
        <f t="shared" si="2"/>
        <v>0</v>
      </c>
      <c r="H69" s="114" t="str">
        <f t="shared" si="13"/>
        <v>0</v>
      </c>
      <c r="I69" s="114" t="str">
        <f t="shared" si="10"/>
        <v>0</v>
      </c>
      <c r="J69" s="51"/>
      <c r="K69" s="33">
        <f t="shared" si="12"/>
        <v>12.037037037037036</v>
      </c>
      <c r="L69" s="33">
        <f t="shared" si="5"/>
        <v>9.2601916100371842</v>
      </c>
      <c r="M69" s="33">
        <f t="shared" si="6"/>
        <v>10.557510576018821</v>
      </c>
      <c r="N69" s="114" t="str">
        <f t="shared" si="7"/>
        <v>0</v>
      </c>
      <c r="O69" s="147"/>
      <c r="P69" s="147"/>
      <c r="Q69" s="147"/>
      <c r="R69" s="147"/>
      <c r="S69" s="148"/>
      <c r="T69" s="8"/>
      <c r="U69" s="8"/>
    </row>
    <row r="70" spans="1:21">
      <c r="A70" s="58"/>
      <c r="B70" s="58"/>
      <c r="C70" s="136">
        <f t="shared" si="8"/>
        <v>41822</v>
      </c>
      <c r="D70" s="38"/>
      <c r="E70" s="35"/>
      <c r="F70" s="36">
        <f t="shared" si="11"/>
        <v>0</v>
      </c>
      <c r="G70" s="37">
        <f t="shared" si="2"/>
        <v>0</v>
      </c>
      <c r="H70" s="114" t="str">
        <f t="shared" si="13"/>
        <v>0</v>
      </c>
      <c r="I70" s="114" t="str">
        <f t="shared" si="10"/>
        <v>0</v>
      </c>
      <c r="J70" s="51"/>
      <c r="K70" s="33">
        <f t="shared" si="12"/>
        <v>12.037037037037036</v>
      </c>
      <c r="L70" s="33">
        <f t="shared" si="5"/>
        <v>9.2601916100371842</v>
      </c>
      <c r="M70" s="33">
        <f t="shared" si="6"/>
        <v>10.557510576018821</v>
      </c>
      <c r="N70" s="114" t="str">
        <f t="shared" si="7"/>
        <v>0</v>
      </c>
      <c r="O70" s="147"/>
      <c r="P70" s="147"/>
      <c r="Q70" s="147"/>
      <c r="R70" s="147"/>
      <c r="S70" s="148"/>
      <c r="T70" s="8"/>
      <c r="U70" s="8"/>
    </row>
    <row r="71" spans="1:21">
      <c r="A71" s="58"/>
      <c r="B71" s="58"/>
      <c r="C71" s="136">
        <f t="shared" si="8"/>
        <v>41836</v>
      </c>
      <c r="D71" s="38"/>
      <c r="E71" s="35"/>
      <c r="F71" s="36">
        <f t="shared" ref="F71:F102" si="14">ROUND(E71*A71,0)</f>
        <v>0</v>
      </c>
      <c r="G71" s="37">
        <f t="shared" si="2"/>
        <v>0</v>
      </c>
      <c r="H71" s="114" t="str">
        <f t="shared" si="13"/>
        <v>0</v>
      </c>
      <c r="I71" s="114" t="str">
        <f t="shared" si="10"/>
        <v>0</v>
      </c>
      <c r="J71" s="51"/>
      <c r="K71" s="33">
        <f t="shared" ref="K71:K102" si="15">$J$3</f>
        <v>12.037037037037036</v>
      </c>
      <c r="L71" s="33">
        <f t="shared" si="5"/>
        <v>9.2601916100371842</v>
      </c>
      <c r="M71" s="33">
        <f t="shared" si="6"/>
        <v>10.557510576018821</v>
      </c>
      <c r="N71" s="114" t="str">
        <f t="shared" si="7"/>
        <v>0</v>
      </c>
      <c r="O71" s="147"/>
      <c r="P71" s="147"/>
      <c r="Q71" s="147"/>
      <c r="R71" s="147"/>
      <c r="S71" s="148"/>
      <c r="T71" s="8"/>
      <c r="U71" s="8"/>
    </row>
    <row r="72" spans="1:21">
      <c r="A72" s="58"/>
      <c r="B72" s="58"/>
      <c r="C72" s="136">
        <f t="shared" si="8"/>
        <v>41850</v>
      </c>
      <c r="D72" s="38"/>
      <c r="E72" s="35"/>
      <c r="F72" s="36">
        <f t="shared" si="14"/>
        <v>0</v>
      </c>
      <c r="G72" s="37">
        <f t="shared" ref="G72:G112" si="16">ROUND(E72*A72,0)-ROUND(E72*B72,0)</f>
        <v>0</v>
      </c>
      <c r="H72" s="114" t="str">
        <f t="shared" ref="H72:H103" si="17">IF($D72=0,"0",(D72-D71)*$A$3)</f>
        <v>0</v>
      </c>
      <c r="I72" s="114" t="str">
        <f t="shared" si="10"/>
        <v>0</v>
      </c>
      <c r="J72" s="51"/>
      <c r="K72" s="33">
        <f t="shared" si="15"/>
        <v>12.037037037037036</v>
      </c>
      <c r="L72" s="33">
        <f t="shared" ref="L72:L135" si="18">$O$3</f>
        <v>9.2601916100371842</v>
      </c>
      <c r="M72" s="33">
        <f t="shared" ref="M72:M135" si="19">$P$3</f>
        <v>10.557510576018821</v>
      </c>
      <c r="N72" s="114" t="str">
        <f t="shared" ref="N72:N112" si="20">IF($D72=0,"0",ROUNDUP(((G72/H72)+SUM($J$7:$J$200)/SUM($H$7:$H$200)),2))</f>
        <v>0</v>
      </c>
      <c r="O72" s="147"/>
      <c r="P72" s="147"/>
      <c r="Q72" s="147"/>
      <c r="R72" s="147"/>
      <c r="S72" s="148"/>
    </row>
    <row r="73" spans="1:21">
      <c r="A73" s="58"/>
      <c r="B73" s="58"/>
      <c r="C73" s="136">
        <f t="shared" ref="C73:C85" si="21">C72+14</f>
        <v>41864</v>
      </c>
      <c r="D73" s="38"/>
      <c r="E73" s="35"/>
      <c r="F73" s="36">
        <f t="shared" si="14"/>
        <v>0</v>
      </c>
      <c r="G73" s="37">
        <f t="shared" si="16"/>
        <v>0</v>
      </c>
      <c r="H73" s="114" t="str">
        <f t="shared" si="17"/>
        <v>0</v>
      </c>
      <c r="I73" s="114" t="str">
        <f t="shared" si="10"/>
        <v>0</v>
      </c>
      <c r="J73" s="51"/>
      <c r="K73" s="33">
        <f t="shared" si="15"/>
        <v>12.037037037037036</v>
      </c>
      <c r="L73" s="33">
        <f t="shared" si="18"/>
        <v>9.2601916100371842</v>
      </c>
      <c r="M73" s="33">
        <f t="shared" si="19"/>
        <v>10.557510576018821</v>
      </c>
      <c r="N73" s="114" t="str">
        <f t="shared" si="20"/>
        <v>0</v>
      </c>
      <c r="O73" s="147"/>
      <c r="P73" s="147"/>
      <c r="Q73" s="147"/>
      <c r="R73" s="147"/>
      <c r="S73" s="148"/>
    </row>
    <row r="74" spans="1:21">
      <c r="A74" s="58"/>
      <c r="B74" s="58"/>
      <c r="C74" s="136">
        <f t="shared" si="21"/>
        <v>41878</v>
      </c>
      <c r="D74" s="38"/>
      <c r="E74" s="35"/>
      <c r="F74" s="36">
        <f t="shared" si="14"/>
        <v>0</v>
      </c>
      <c r="G74" s="37">
        <f t="shared" si="16"/>
        <v>0</v>
      </c>
      <c r="H74" s="114" t="str">
        <f t="shared" si="17"/>
        <v>0</v>
      </c>
      <c r="I74" s="114" t="str">
        <f t="shared" si="10"/>
        <v>0</v>
      </c>
      <c r="J74" s="51"/>
      <c r="K74" s="33">
        <f t="shared" si="15"/>
        <v>12.037037037037036</v>
      </c>
      <c r="L74" s="33">
        <f t="shared" si="18"/>
        <v>9.2601916100371842</v>
      </c>
      <c r="M74" s="33">
        <f t="shared" si="19"/>
        <v>10.557510576018821</v>
      </c>
      <c r="N74" s="114" t="str">
        <f t="shared" si="20"/>
        <v>0</v>
      </c>
      <c r="O74" s="147"/>
      <c r="P74" s="147"/>
      <c r="Q74" s="147"/>
      <c r="R74" s="147"/>
      <c r="S74" s="148"/>
    </row>
    <row r="75" spans="1:21">
      <c r="A75" s="58"/>
      <c r="B75" s="58"/>
      <c r="C75" s="136">
        <f t="shared" si="21"/>
        <v>41892</v>
      </c>
      <c r="D75" s="38"/>
      <c r="E75" s="35"/>
      <c r="F75" s="36">
        <f t="shared" si="14"/>
        <v>0</v>
      </c>
      <c r="G75" s="37">
        <f t="shared" si="16"/>
        <v>0</v>
      </c>
      <c r="H75" s="114" t="str">
        <f t="shared" si="17"/>
        <v>0</v>
      </c>
      <c r="I75" s="114" t="str">
        <f t="shared" si="10"/>
        <v>0</v>
      </c>
      <c r="J75" s="51"/>
      <c r="K75" s="33">
        <f t="shared" si="15"/>
        <v>12.037037037037036</v>
      </c>
      <c r="L75" s="33">
        <f t="shared" si="18"/>
        <v>9.2601916100371842</v>
      </c>
      <c r="M75" s="33">
        <f t="shared" si="19"/>
        <v>10.557510576018821</v>
      </c>
      <c r="N75" s="114" t="str">
        <f t="shared" si="20"/>
        <v>0</v>
      </c>
      <c r="O75" s="147"/>
      <c r="P75" s="147"/>
      <c r="Q75" s="147"/>
      <c r="R75" s="147"/>
      <c r="S75" s="148"/>
    </row>
    <row r="76" spans="1:21">
      <c r="A76" s="58"/>
      <c r="B76" s="58"/>
      <c r="C76" s="136">
        <f t="shared" si="21"/>
        <v>41906</v>
      </c>
      <c r="D76" s="38"/>
      <c r="E76" s="35"/>
      <c r="F76" s="36">
        <f t="shared" si="14"/>
        <v>0</v>
      </c>
      <c r="G76" s="37">
        <f t="shared" si="16"/>
        <v>0</v>
      </c>
      <c r="H76" s="114" t="str">
        <f t="shared" si="17"/>
        <v>0</v>
      </c>
      <c r="I76" s="114" t="str">
        <f t="shared" si="10"/>
        <v>0</v>
      </c>
      <c r="J76" s="51"/>
      <c r="K76" s="33">
        <f t="shared" si="15"/>
        <v>12.037037037037036</v>
      </c>
      <c r="L76" s="33">
        <f t="shared" si="18"/>
        <v>9.2601916100371842</v>
      </c>
      <c r="M76" s="33">
        <f t="shared" si="19"/>
        <v>10.557510576018821</v>
      </c>
      <c r="N76" s="114" t="str">
        <f t="shared" si="20"/>
        <v>0</v>
      </c>
      <c r="O76" s="147"/>
      <c r="P76" s="147"/>
      <c r="Q76" s="147"/>
      <c r="R76" s="147"/>
      <c r="S76" s="148"/>
    </row>
    <row r="77" spans="1:21">
      <c r="A77" s="58"/>
      <c r="B77" s="58"/>
      <c r="C77" s="136">
        <f t="shared" si="21"/>
        <v>41920</v>
      </c>
      <c r="D77" s="38"/>
      <c r="E77" s="35"/>
      <c r="F77" s="36">
        <f t="shared" si="14"/>
        <v>0</v>
      </c>
      <c r="G77" s="37">
        <f t="shared" si="16"/>
        <v>0</v>
      </c>
      <c r="H77" s="114" t="str">
        <f t="shared" si="17"/>
        <v>0</v>
      </c>
      <c r="I77" s="114" t="str">
        <f t="shared" si="10"/>
        <v>0</v>
      </c>
      <c r="J77" s="51"/>
      <c r="K77" s="33">
        <f t="shared" si="15"/>
        <v>12.037037037037036</v>
      </c>
      <c r="L77" s="33">
        <f t="shared" si="18"/>
        <v>9.2601916100371842</v>
      </c>
      <c r="M77" s="33">
        <f t="shared" si="19"/>
        <v>10.557510576018821</v>
      </c>
      <c r="N77" s="114" t="str">
        <f t="shared" si="20"/>
        <v>0</v>
      </c>
      <c r="O77" s="147"/>
      <c r="P77" s="147"/>
      <c r="Q77" s="147"/>
      <c r="R77" s="147"/>
      <c r="S77" s="148"/>
    </row>
    <row r="78" spans="1:21">
      <c r="A78" s="58"/>
      <c r="B78" s="58"/>
      <c r="C78" s="136">
        <f t="shared" si="21"/>
        <v>41934</v>
      </c>
      <c r="D78" s="38"/>
      <c r="E78" s="35"/>
      <c r="F78" s="36">
        <f t="shared" si="14"/>
        <v>0</v>
      </c>
      <c r="G78" s="37">
        <f t="shared" si="16"/>
        <v>0</v>
      </c>
      <c r="H78" s="114" t="str">
        <f t="shared" si="17"/>
        <v>0</v>
      </c>
      <c r="I78" s="114" t="str">
        <f t="shared" si="10"/>
        <v>0</v>
      </c>
      <c r="J78" s="51"/>
      <c r="K78" s="33">
        <f t="shared" si="15"/>
        <v>12.037037037037036</v>
      </c>
      <c r="L78" s="33">
        <f t="shared" si="18"/>
        <v>9.2601916100371842</v>
      </c>
      <c r="M78" s="33">
        <f t="shared" si="19"/>
        <v>10.557510576018821</v>
      </c>
      <c r="N78" s="114" t="str">
        <f t="shared" si="20"/>
        <v>0</v>
      </c>
      <c r="O78" s="147"/>
      <c r="P78" s="147"/>
      <c r="Q78" s="147"/>
      <c r="R78" s="147"/>
      <c r="S78" s="148"/>
    </row>
    <row r="79" spans="1:21">
      <c r="A79" s="58"/>
      <c r="B79" s="58"/>
      <c r="C79" s="136">
        <f t="shared" si="21"/>
        <v>41948</v>
      </c>
      <c r="D79" s="38"/>
      <c r="E79" s="35"/>
      <c r="F79" s="36">
        <f t="shared" si="14"/>
        <v>0</v>
      </c>
      <c r="G79" s="37">
        <f t="shared" si="16"/>
        <v>0</v>
      </c>
      <c r="H79" s="114" t="str">
        <f t="shared" si="17"/>
        <v>0</v>
      </c>
      <c r="I79" s="114" t="str">
        <f t="shared" si="10"/>
        <v>0</v>
      </c>
      <c r="J79" s="51"/>
      <c r="K79" s="33">
        <f t="shared" si="15"/>
        <v>12.037037037037036</v>
      </c>
      <c r="L79" s="33">
        <f t="shared" si="18"/>
        <v>9.2601916100371842</v>
      </c>
      <c r="M79" s="33">
        <f t="shared" si="19"/>
        <v>10.557510576018821</v>
      </c>
      <c r="N79" s="114" t="str">
        <f t="shared" si="20"/>
        <v>0</v>
      </c>
      <c r="O79" s="147"/>
      <c r="P79" s="147"/>
      <c r="Q79" s="147"/>
      <c r="R79" s="147"/>
      <c r="S79" s="148"/>
    </row>
    <row r="80" spans="1:21">
      <c r="A80" s="58"/>
      <c r="B80" s="58"/>
      <c r="C80" s="136">
        <f t="shared" si="21"/>
        <v>41962</v>
      </c>
      <c r="D80" s="38"/>
      <c r="E80" s="35"/>
      <c r="F80" s="36">
        <f t="shared" si="14"/>
        <v>0</v>
      </c>
      <c r="G80" s="37">
        <f t="shared" si="16"/>
        <v>0</v>
      </c>
      <c r="H80" s="114" t="str">
        <f t="shared" si="17"/>
        <v>0</v>
      </c>
      <c r="I80" s="114" t="str">
        <f t="shared" si="10"/>
        <v>0</v>
      </c>
      <c r="J80" s="51"/>
      <c r="K80" s="33">
        <f t="shared" si="15"/>
        <v>12.037037037037036</v>
      </c>
      <c r="L80" s="33">
        <f t="shared" si="18"/>
        <v>9.2601916100371842</v>
      </c>
      <c r="M80" s="33">
        <f t="shared" si="19"/>
        <v>10.557510576018821</v>
      </c>
      <c r="N80" s="114" t="str">
        <f t="shared" si="20"/>
        <v>0</v>
      </c>
      <c r="O80" s="147"/>
      <c r="P80" s="147"/>
      <c r="Q80" s="147"/>
      <c r="R80" s="147"/>
      <c r="S80" s="148"/>
    </row>
    <row r="81" spans="1:19">
      <c r="A81" s="58"/>
      <c r="B81" s="58"/>
      <c r="C81" s="136">
        <f t="shared" si="21"/>
        <v>41976</v>
      </c>
      <c r="D81" s="38"/>
      <c r="E81" s="35"/>
      <c r="F81" s="36">
        <f t="shared" si="14"/>
        <v>0</v>
      </c>
      <c r="G81" s="37">
        <f t="shared" si="16"/>
        <v>0</v>
      </c>
      <c r="H81" s="114" t="str">
        <f t="shared" si="17"/>
        <v>0</v>
      </c>
      <c r="I81" s="114" t="str">
        <f t="shared" si="10"/>
        <v>0</v>
      </c>
      <c r="J81" s="51"/>
      <c r="K81" s="33">
        <f t="shared" si="15"/>
        <v>12.037037037037036</v>
      </c>
      <c r="L81" s="33">
        <f t="shared" si="18"/>
        <v>9.2601916100371842</v>
      </c>
      <c r="M81" s="33">
        <f t="shared" si="19"/>
        <v>10.557510576018821</v>
      </c>
      <c r="N81" s="114" t="str">
        <f t="shared" si="20"/>
        <v>0</v>
      </c>
      <c r="O81" s="147"/>
      <c r="P81" s="147"/>
      <c r="Q81" s="147"/>
      <c r="R81" s="147"/>
      <c r="S81" s="148"/>
    </row>
    <row r="82" spans="1:19">
      <c r="A82" s="58"/>
      <c r="B82" s="58"/>
      <c r="C82" s="136">
        <f t="shared" si="21"/>
        <v>41990</v>
      </c>
      <c r="D82" s="38"/>
      <c r="E82" s="35"/>
      <c r="F82" s="36">
        <f t="shared" si="14"/>
        <v>0</v>
      </c>
      <c r="G82" s="37">
        <f t="shared" si="16"/>
        <v>0</v>
      </c>
      <c r="H82" s="114" t="str">
        <f t="shared" si="17"/>
        <v>0</v>
      </c>
      <c r="I82" s="114" t="str">
        <f t="shared" si="10"/>
        <v>0</v>
      </c>
      <c r="J82" s="51"/>
      <c r="K82" s="33">
        <f t="shared" si="15"/>
        <v>12.037037037037036</v>
      </c>
      <c r="L82" s="33">
        <f t="shared" si="18"/>
        <v>9.2601916100371842</v>
      </c>
      <c r="M82" s="33">
        <f t="shared" si="19"/>
        <v>10.557510576018821</v>
      </c>
      <c r="N82" s="114" t="str">
        <f t="shared" si="20"/>
        <v>0</v>
      </c>
      <c r="O82" s="147"/>
      <c r="P82" s="147"/>
      <c r="Q82" s="147"/>
      <c r="R82" s="147"/>
      <c r="S82" s="148"/>
    </row>
    <row r="83" spans="1:19">
      <c r="A83" s="58"/>
      <c r="B83" s="58"/>
      <c r="C83" s="136">
        <f t="shared" si="21"/>
        <v>42004</v>
      </c>
      <c r="D83" s="38"/>
      <c r="E83" s="35"/>
      <c r="F83" s="36">
        <f t="shared" si="14"/>
        <v>0</v>
      </c>
      <c r="G83" s="37">
        <f t="shared" si="16"/>
        <v>0</v>
      </c>
      <c r="H83" s="114" t="str">
        <f t="shared" si="17"/>
        <v>0</v>
      </c>
      <c r="I83" s="114" t="str">
        <f t="shared" si="10"/>
        <v>0</v>
      </c>
      <c r="J83" s="51"/>
      <c r="K83" s="33">
        <f t="shared" si="15"/>
        <v>12.037037037037036</v>
      </c>
      <c r="L83" s="33">
        <f t="shared" si="18"/>
        <v>9.2601916100371842</v>
      </c>
      <c r="M83" s="33">
        <f t="shared" si="19"/>
        <v>10.557510576018821</v>
      </c>
      <c r="N83" s="114" t="str">
        <f t="shared" si="20"/>
        <v>0</v>
      </c>
      <c r="O83" s="147"/>
      <c r="P83" s="147"/>
      <c r="Q83" s="147"/>
      <c r="R83" s="147"/>
      <c r="S83" s="148"/>
    </row>
    <row r="84" spans="1:19">
      <c r="A84" s="58"/>
      <c r="B84" s="58"/>
      <c r="C84" s="136">
        <f t="shared" si="21"/>
        <v>42018</v>
      </c>
      <c r="D84" s="38"/>
      <c r="E84" s="35"/>
      <c r="F84" s="36">
        <f t="shared" si="14"/>
        <v>0</v>
      </c>
      <c r="G84" s="37">
        <f t="shared" si="16"/>
        <v>0</v>
      </c>
      <c r="H84" s="114" t="str">
        <f t="shared" si="17"/>
        <v>0</v>
      </c>
      <c r="I84" s="114" t="str">
        <f t="shared" si="10"/>
        <v>0</v>
      </c>
      <c r="J84" s="51"/>
      <c r="K84" s="33">
        <f t="shared" si="15"/>
        <v>12.037037037037036</v>
      </c>
      <c r="L84" s="33">
        <f t="shared" si="18"/>
        <v>9.2601916100371842</v>
      </c>
      <c r="M84" s="33">
        <f t="shared" si="19"/>
        <v>10.557510576018821</v>
      </c>
      <c r="N84" s="114" t="str">
        <f t="shared" si="20"/>
        <v>0</v>
      </c>
      <c r="O84" s="147"/>
      <c r="P84" s="147"/>
      <c r="Q84" s="147"/>
      <c r="R84" s="147"/>
      <c r="S84" s="148"/>
    </row>
    <row r="85" spans="1:19">
      <c r="A85" s="58"/>
      <c r="B85" s="58"/>
      <c r="C85" s="136">
        <f t="shared" si="21"/>
        <v>42032</v>
      </c>
      <c r="D85" s="38"/>
      <c r="E85" s="35"/>
      <c r="F85" s="36">
        <f t="shared" si="14"/>
        <v>0</v>
      </c>
      <c r="G85" s="37">
        <f t="shared" si="16"/>
        <v>0</v>
      </c>
      <c r="H85" s="114" t="str">
        <f t="shared" si="17"/>
        <v>0</v>
      </c>
      <c r="I85" s="114" t="str">
        <f t="shared" si="10"/>
        <v>0</v>
      </c>
      <c r="J85" s="51"/>
      <c r="K85" s="33">
        <f t="shared" si="15"/>
        <v>12.037037037037036</v>
      </c>
      <c r="L85" s="33">
        <f t="shared" si="18"/>
        <v>9.2601916100371842</v>
      </c>
      <c r="M85" s="33">
        <f t="shared" si="19"/>
        <v>10.557510576018821</v>
      </c>
      <c r="N85" s="114" t="str">
        <f t="shared" si="20"/>
        <v>0</v>
      </c>
      <c r="O85" s="147"/>
      <c r="P85" s="147"/>
      <c r="Q85" s="147"/>
      <c r="R85" s="147"/>
      <c r="S85" s="148"/>
    </row>
    <row r="86" spans="1:19">
      <c r="A86" s="58"/>
      <c r="B86" s="58"/>
      <c r="C86" s="131">
        <f t="shared" ref="C86:C112" si="22">C85+7</f>
        <v>42039</v>
      </c>
      <c r="D86" s="32"/>
      <c r="E86" s="44"/>
      <c r="F86" s="36">
        <f t="shared" si="14"/>
        <v>0</v>
      </c>
      <c r="G86" s="37">
        <f t="shared" si="16"/>
        <v>0</v>
      </c>
      <c r="H86" s="114" t="str">
        <f t="shared" si="17"/>
        <v>0</v>
      </c>
      <c r="I86" s="114" t="str">
        <f t="shared" si="10"/>
        <v>0</v>
      </c>
      <c r="J86" s="52"/>
      <c r="K86" s="33">
        <f t="shared" si="15"/>
        <v>12.037037037037036</v>
      </c>
      <c r="L86" s="33">
        <f t="shared" si="18"/>
        <v>9.2601916100371842</v>
      </c>
      <c r="M86" s="33">
        <f t="shared" si="19"/>
        <v>10.557510576018821</v>
      </c>
      <c r="N86" s="114" t="str">
        <f t="shared" si="20"/>
        <v>0</v>
      </c>
      <c r="O86" s="152"/>
      <c r="P86" s="152"/>
      <c r="Q86" s="152"/>
      <c r="R86" s="152"/>
      <c r="S86" s="153"/>
    </row>
    <row r="87" spans="1:19">
      <c r="A87" s="58"/>
      <c r="B87" s="58"/>
      <c r="C87" s="131">
        <f t="shared" si="22"/>
        <v>42046</v>
      </c>
      <c r="D87" s="32"/>
      <c r="E87" s="44"/>
      <c r="F87" s="36">
        <f t="shared" si="14"/>
        <v>0</v>
      </c>
      <c r="G87" s="37">
        <f t="shared" si="16"/>
        <v>0</v>
      </c>
      <c r="H87" s="114" t="str">
        <f t="shared" si="17"/>
        <v>0</v>
      </c>
      <c r="I87" s="114" t="str">
        <f t="shared" si="10"/>
        <v>0</v>
      </c>
      <c r="J87" s="52"/>
      <c r="K87" s="33">
        <f t="shared" si="15"/>
        <v>12.037037037037036</v>
      </c>
      <c r="L87" s="33">
        <f t="shared" si="18"/>
        <v>9.2601916100371842</v>
      </c>
      <c r="M87" s="33">
        <f t="shared" si="19"/>
        <v>10.557510576018821</v>
      </c>
      <c r="N87" s="114" t="str">
        <f t="shared" si="20"/>
        <v>0</v>
      </c>
      <c r="O87" s="152"/>
      <c r="P87" s="152"/>
      <c r="Q87" s="152"/>
      <c r="R87" s="152"/>
      <c r="S87" s="153"/>
    </row>
    <row r="88" spans="1:19">
      <c r="A88" s="58"/>
      <c r="B88" s="58"/>
      <c r="C88" s="131">
        <f t="shared" si="22"/>
        <v>42053</v>
      </c>
      <c r="D88" s="32"/>
      <c r="E88" s="44"/>
      <c r="F88" s="36">
        <f t="shared" si="14"/>
        <v>0</v>
      </c>
      <c r="G88" s="37">
        <f t="shared" si="16"/>
        <v>0</v>
      </c>
      <c r="H88" s="114" t="str">
        <f t="shared" si="17"/>
        <v>0</v>
      </c>
      <c r="I88" s="114" t="str">
        <f t="shared" si="10"/>
        <v>0</v>
      </c>
      <c r="J88" s="52"/>
      <c r="K88" s="33">
        <f t="shared" si="15"/>
        <v>12.037037037037036</v>
      </c>
      <c r="L88" s="33">
        <f t="shared" si="18"/>
        <v>9.2601916100371842</v>
      </c>
      <c r="M88" s="33">
        <f t="shared" si="19"/>
        <v>10.557510576018821</v>
      </c>
      <c r="N88" s="114" t="str">
        <f t="shared" si="20"/>
        <v>0</v>
      </c>
      <c r="O88" s="152"/>
      <c r="P88" s="152"/>
      <c r="Q88" s="152"/>
      <c r="R88" s="152"/>
      <c r="S88" s="153"/>
    </row>
    <row r="89" spans="1:19" ht="42" customHeight="1">
      <c r="A89" s="58"/>
      <c r="B89" s="58"/>
      <c r="C89" s="131">
        <f t="shared" si="22"/>
        <v>42060</v>
      </c>
      <c r="D89" s="32"/>
      <c r="E89" s="44"/>
      <c r="F89" s="36">
        <f t="shared" si="14"/>
        <v>0</v>
      </c>
      <c r="G89" s="37">
        <f t="shared" si="16"/>
        <v>0</v>
      </c>
      <c r="H89" s="114" t="str">
        <f t="shared" si="17"/>
        <v>0</v>
      </c>
      <c r="I89" s="114" t="str">
        <f t="shared" si="10"/>
        <v>0</v>
      </c>
      <c r="J89" s="52"/>
      <c r="K89" s="33">
        <f t="shared" si="15"/>
        <v>12.037037037037036</v>
      </c>
      <c r="L89" s="33">
        <f t="shared" si="18"/>
        <v>9.2601916100371842</v>
      </c>
      <c r="M89" s="33">
        <f t="shared" si="19"/>
        <v>10.557510576018821</v>
      </c>
      <c r="N89" s="114" t="str">
        <f t="shared" si="20"/>
        <v>0</v>
      </c>
      <c r="O89" s="152"/>
      <c r="P89" s="152"/>
      <c r="Q89" s="152"/>
      <c r="R89" s="152"/>
      <c r="S89" s="153"/>
    </row>
    <row r="90" spans="1:19">
      <c r="A90" s="58"/>
      <c r="B90" s="58"/>
      <c r="C90" s="131">
        <f t="shared" si="22"/>
        <v>42067</v>
      </c>
      <c r="D90" s="32"/>
      <c r="E90" s="44"/>
      <c r="F90" s="36">
        <f t="shared" si="14"/>
        <v>0</v>
      </c>
      <c r="G90" s="37">
        <f t="shared" si="16"/>
        <v>0</v>
      </c>
      <c r="H90" s="114" t="str">
        <f t="shared" si="17"/>
        <v>0</v>
      </c>
      <c r="I90" s="114" t="str">
        <f t="shared" si="10"/>
        <v>0</v>
      </c>
      <c r="J90" s="52"/>
      <c r="K90" s="33">
        <f t="shared" si="15"/>
        <v>12.037037037037036</v>
      </c>
      <c r="L90" s="33">
        <f t="shared" si="18"/>
        <v>9.2601916100371842</v>
      </c>
      <c r="M90" s="33">
        <f t="shared" si="19"/>
        <v>10.557510576018821</v>
      </c>
      <c r="N90" s="114" t="str">
        <f t="shared" si="20"/>
        <v>0</v>
      </c>
      <c r="O90" s="152"/>
      <c r="P90" s="152"/>
      <c r="Q90" s="152"/>
      <c r="R90" s="152"/>
      <c r="S90" s="153"/>
    </row>
    <row r="91" spans="1:19">
      <c r="A91" s="58"/>
      <c r="B91" s="58"/>
      <c r="C91" s="131">
        <f t="shared" si="22"/>
        <v>42074</v>
      </c>
      <c r="D91" s="32"/>
      <c r="E91" s="44"/>
      <c r="F91" s="36">
        <f t="shared" si="14"/>
        <v>0</v>
      </c>
      <c r="G91" s="37">
        <f t="shared" si="16"/>
        <v>0</v>
      </c>
      <c r="H91" s="114" t="str">
        <f t="shared" si="17"/>
        <v>0</v>
      </c>
      <c r="I91" s="114" t="str">
        <f t="shared" si="10"/>
        <v>0</v>
      </c>
      <c r="J91" s="52"/>
      <c r="K91" s="33">
        <f t="shared" si="15"/>
        <v>12.037037037037036</v>
      </c>
      <c r="L91" s="33">
        <f t="shared" si="18"/>
        <v>9.2601916100371842</v>
      </c>
      <c r="M91" s="33">
        <f t="shared" si="19"/>
        <v>10.557510576018821</v>
      </c>
      <c r="N91" s="114" t="str">
        <f t="shared" si="20"/>
        <v>0</v>
      </c>
      <c r="O91" s="152"/>
      <c r="P91" s="152"/>
      <c r="Q91" s="152"/>
      <c r="R91" s="152"/>
      <c r="S91" s="153"/>
    </row>
    <row r="92" spans="1:19">
      <c r="A92" s="58"/>
      <c r="B92" s="58"/>
      <c r="C92" s="131">
        <f t="shared" si="22"/>
        <v>42081</v>
      </c>
      <c r="D92" s="32"/>
      <c r="E92" s="44"/>
      <c r="F92" s="36">
        <f t="shared" si="14"/>
        <v>0</v>
      </c>
      <c r="G92" s="37">
        <f t="shared" si="16"/>
        <v>0</v>
      </c>
      <c r="H92" s="114" t="str">
        <f t="shared" si="17"/>
        <v>0</v>
      </c>
      <c r="I92" s="114" t="str">
        <f t="shared" si="10"/>
        <v>0</v>
      </c>
      <c r="J92" s="52"/>
      <c r="K92" s="33">
        <f t="shared" si="15"/>
        <v>12.037037037037036</v>
      </c>
      <c r="L92" s="33">
        <f t="shared" si="18"/>
        <v>9.2601916100371842</v>
      </c>
      <c r="M92" s="33">
        <f t="shared" si="19"/>
        <v>10.557510576018821</v>
      </c>
      <c r="N92" s="114" t="str">
        <f t="shared" si="20"/>
        <v>0</v>
      </c>
      <c r="O92" s="152"/>
      <c r="P92" s="152"/>
      <c r="Q92" s="152"/>
      <c r="R92" s="152"/>
      <c r="S92" s="153"/>
    </row>
    <row r="93" spans="1:19">
      <c r="A93" s="58"/>
      <c r="B93" s="58"/>
      <c r="C93" s="131">
        <f t="shared" si="22"/>
        <v>42088</v>
      </c>
      <c r="D93" s="32"/>
      <c r="E93" s="44"/>
      <c r="F93" s="36">
        <f t="shared" si="14"/>
        <v>0</v>
      </c>
      <c r="G93" s="37">
        <f t="shared" si="16"/>
        <v>0</v>
      </c>
      <c r="H93" s="114" t="str">
        <f t="shared" si="17"/>
        <v>0</v>
      </c>
      <c r="I93" s="114" t="str">
        <f t="shared" si="10"/>
        <v>0</v>
      </c>
      <c r="J93" s="52"/>
      <c r="K93" s="33">
        <f t="shared" si="15"/>
        <v>12.037037037037036</v>
      </c>
      <c r="L93" s="33">
        <f t="shared" si="18"/>
        <v>9.2601916100371842</v>
      </c>
      <c r="M93" s="33">
        <f t="shared" si="19"/>
        <v>10.557510576018821</v>
      </c>
      <c r="N93" s="114" t="str">
        <f t="shared" si="20"/>
        <v>0</v>
      </c>
      <c r="O93" s="152"/>
      <c r="P93" s="152"/>
      <c r="Q93" s="152"/>
      <c r="R93" s="152"/>
      <c r="S93" s="153"/>
    </row>
    <row r="94" spans="1:19">
      <c r="A94" s="58"/>
      <c r="B94" s="58"/>
      <c r="C94" s="131">
        <f t="shared" si="22"/>
        <v>42095</v>
      </c>
      <c r="D94" s="32"/>
      <c r="E94" s="44"/>
      <c r="F94" s="36">
        <f t="shared" si="14"/>
        <v>0</v>
      </c>
      <c r="G94" s="37">
        <f t="shared" si="16"/>
        <v>0</v>
      </c>
      <c r="H94" s="114" t="str">
        <f t="shared" si="17"/>
        <v>0</v>
      </c>
      <c r="I94" s="114" t="str">
        <f t="shared" si="10"/>
        <v>0</v>
      </c>
      <c r="J94" s="52"/>
      <c r="K94" s="33">
        <f t="shared" si="15"/>
        <v>12.037037037037036</v>
      </c>
      <c r="L94" s="33">
        <f t="shared" si="18"/>
        <v>9.2601916100371842</v>
      </c>
      <c r="M94" s="33">
        <f t="shared" si="19"/>
        <v>10.557510576018821</v>
      </c>
      <c r="N94" s="114" t="str">
        <f t="shared" si="20"/>
        <v>0</v>
      </c>
      <c r="O94" s="152"/>
      <c r="P94" s="152"/>
      <c r="Q94" s="152"/>
      <c r="R94" s="152"/>
      <c r="S94" s="153"/>
    </row>
    <row r="95" spans="1:19">
      <c r="A95" s="58"/>
      <c r="B95" s="58"/>
      <c r="C95" s="131">
        <f t="shared" si="22"/>
        <v>42102</v>
      </c>
      <c r="D95" s="32"/>
      <c r="E95" s="44"/>
      <c r="F95" s="36">
        <f t="shared" si="14"/>
        <v>0</v>
      </c>
      <c r="G95" s="37">
        <f t="shared" si="16"/>
        <v>0</v>
      </c>
      <c r="H95" s="114" t="str">
        <f t="shared" si="17"/>
        <v>0</v>
      </c>
      <c r="I95" s="114" t="str">
        <f t="shared" ref="I95:I112" si="23">IF($D95=0,"0",(H95/E95))</f>
        <v>0</v>
      </c>
      <c r="J95" s="52"/>
      <c r="K95" s="33">
        <f t="shared" si="15"/>
        <v>12.037037037037036</v>
      </c>
      <c r="L95" s="33">
        <f t="shared" si="18"/>
        <v>9.2601916100371842</v>
      </c>
      <c r="M95" s="33">
        <f t="shared" si="19"/>
        <v>10.557510576018821</v>
      </c>
      <c r="N95" s="114" t="str">
        <f t="shared" si="20"/>
        <v>0</v>
      </c>
      <c r="O95" s="152"/>
      <c r="P95" s="152"/>
      <c r="Q95" s="152"/>
      <c r="R95" s="152"/>
      <c r="S95" s="153"/>
    </row>
    <row r="96" spans="1:19">
      <c r="A96" s="58"/>
      <c r="B96" s="58"/>
      <c r="C96" s="131">
        <f t="shared" si="22"/>
        <v>42109</v>
      </c>
      <c r="D96" s="32"/>
      <c r="E96" s="44"/>
      <c r="F96" s="36">
        <f t="shared" si="14"/>
        <v>0</v>
      </c>
      <c r="G96" s="37">
        <f t="shared" si="16"/>
        <v>0</v>
      </c>
      <c r="H96" s="114" t="str">
        <f t="shared" si="17"/>
        <v>0</v>
      </c>
      <c r="I96" s="114" t="str">
        <f t="shared" si="23"/>
        <v>0</v>
      </c>
      <c r="J96" s="52"/>
      <c r="K96" s="33">
        <f t="shared" si="15"/>
        <v>12.037037037037036</v>
      </c>
      <c r="L96" s="33">
        <f t="shared" si="18"/>
        <v>9.2601916100371842</v>
      </c>
      <c r="M96" s="33">
        <f t="shared" si="19"/>
        <v>10.557510576018821</v>
      </c>
      <c r="N96" s="114" t="str">
        <f t="shared" si="20"/>
        <v>0</v>
      </c>
      <c r="O96" s="152"/>
      <c r="P96" s="152"/>
      <c r="Q96" s="152"/>
      <c r="R96" s="152"/>
      <c r="S96" s="153"/>
    </row>
    <row r="97" spans="1:19">
      <c r="A97" s="58"/>
      <c r="B97" s="58"/>
      <c r="C97" s="131">
        <f t="shared" si="22"/>
        <v>42116</v>
      </c>
      <c r="D97" s="32"/>
      <c r="E97" s="44"/>
      <c r="F97" s="36">
        <f t="shared" si="14"/>
        <v>0</v>
      </c>
      <c r="G97" s="37">
        <f t="shared" si="16"/>
        <v>0</v>
      </c>
      <c r="H97" s="114" t="str">
        <f t="shared" si="17"/>
        <v>0</v>
      </c>
      <c r="I97" s="114" t="str">
        <f t="shared" si="23"/>
        <v>0</v>
      </c>
      <c r="J97" s="52"/>
      <c r="K97" s="33">
        <f t="shared" si="15"/>
        <v>12.037037037037036</v>
      </c>
      <c r="L97" s="33">
        <f t="shared" si="18"/>
        <v>9.2601916100371842</v>
      </c>
      <c r="M97" s="33">
        <f t="shared" si="19"/>
        <v>10.557510576018821</v>
      </c>
      <c r="N97" s="114" t="str">
        <f t="shared" si="20"/>
        <v>0</v>
      </c>
      <c r="O97" s="152"/>
      <c r="P97" s="152"/>
      <c r="Q97" s="152"/>
      <c r="R97" s="152"/>
      <c r="S97" s="153"/>
    </row>
    <row r="98" spans="1:19">
      <c r="A98" s="58"/>
      <c r="B98" s="58"/>
      <c r="C98" s="131">
        <f t="shared" si="22"/>
        <v>42123</v>
      </c>
      <c r="D98" s="32"/>
      <c r="E98" s="44"/>
      <c r="F98" s="36">
        <f t="shared" si="14"/>
        <v>0</v>
      </c>
      <c r="G98" s="37">
        <f t="shared" si="16"/>
        <v>0</v>
      </c>
      <c r="H98" s="114" t="str">
        <f t="shared" si="17"/>
        <v>0</v>
      </c>
      <c r="I98" s="114" t="str">
        <f t="shared" si="23"/>
        <v>0</v>
      </c>
      <c r="J98" s="52"/>
      <c r="K98" s="33">
        <f t="shared" si="15"/>
        <v>12.037037037037036</v>
      </c>
      <c r="L98" s="33">
        <f t="shared" si="18"/>
        <v>9.2601916100371842</v>
      </c>
      <c r="M98" s="33">
        <f t="shared" si="19"/>
        <v>10.557510576018821</v>
      </c>
      <c r="N98" s="114" t="str">
        <f t="shared" si="20"/>
        <v>0</v>
      </c>
      <c r="O98" s="152"/>
      <c r="P98" s="152"/>
      <c r="Q98" s="152"/>
      <c r="R98" s="152"/>
      <c r="S98" s="153"/>
    </row>
    <row r="99" spans="1:19">
      <c r="A99" s="58"/>
      <c r="B99" s="58"/>
      <c r="C99" s="131">
        <f t="shared" si="22"/>
        <v>42130</v>
      </c>
      <c r="D99" s="32"/>
      <c r="E99" s="44"/>
      <c r="F99" s="36">
        <f t="shared" si="14"/>
        <v>0</v>
      </c>
      <c r="G99" s="37">
        <f t="shared" si="16"/>
        <v>0</v>
      </c>
      <c r="H99" s="114" t="str">
        <f t="shared" si="17"/>
        <v>0</v>
      </c>
      <c r="I99" s="114" t="str">
        <f t="shared" si="23"/>
        <v>0</v>
      </c>
      <c r="J99" s="52"/>
      <c r="K99" s="33">
        <f t="shared" si="15"/>
        <v>12.037037037037036</v>
      </c>
      <c r="L99" s="33">
        <f t="shared" si="18"/>
        <v>9.2601916100371842</v>
      </c>
      <c r="M99" s="33">
        <f t="shared" si="19"/>
        <v>10.557510576018821</v>
      </c>
      <c r="N99" s="114" t="str">
        <f t="shared" si="20"/>
        <v>0</v>
      </c>
      <c r="O99" s="152"/>
      <c r="P99" s="152"/>
      <c r="Q99" s="152"/>
      <c r="R99" s="152"/>
      <c r="S99" s="153"/>
    </row>
    <row r="100" spans="1:19">
      <c r="A100" s="58"/>
      <c r="B100" s="58"/>
      <c r="C100" s="131">
        <f t="shared" si="22"/>
        <v>42137</v>
      </c>
      <c r="D100" s="32"/>
      <c r="E100" s="44"/>
      <c r="F100" s="36">
        <f t="shared" si="14"/>
        <v>0</v>
      </c>
      <c r="G100" s="37">
        <f t="shared" si="16"/>
        <v>0</v>
      </c>
      <c r="H100" s="114" t="str">
        <f t="shared" si="17"/>
        <v>0</v>
      </c>
      <c r="I100" s="114" t="str">
        <f t="shared" si="23"/>
        <v>0</v>
      </c>
      <c r="J100" s="52"/>
      <c r="K100" s="33">
        <f t="shared" si="15"/>
        <v>12.037037037037036</v>
      </c>
      <c r="L100" s="33">
        <f t="shared" si="18"/>
        <v>9.2601916100371842</v>
      </c>
      <c r="M100" s="33">
        <f t="shared" si="19"/>
        <v>10.557510576018821</v>
      </c>
      <c r="N100" s="114" t="str">
        <f t="shared" si="20"/>
        <v>0</v>
      </c>
      <c r="O100" s="152"/>
      <c r="P100" s="152"/>
      <c r="Q100" s="152"/>
      <c r="R100" s="152"/>
      <c r="S100" s="153"/>
    </row>
    <row r="101" spans="1:19">
      <c r="A101" s="58"/>
      <c r="B101" s="58"/>
      <c r="C101" s="131">
        <f t="shared" si="22"/>
        <v>42144</v>
      </c>
      <c r="D101" s="32"/>
      <c r="E101" s="44"/>
      <c r="F101" s="36">
        <f t="shared" si="14"/>
        <v>0</v>
      </c>
      <c r="G101" s="37">
        <f t="shared" si="16"/>
        <v>0</v>
      </c>
      <c r="H101" s="114" t="str">
        <f t="shared" si="17"/>
        <v>0</v>
      </c>
      <c r="I101" s="114" t="str">
        <f t="shared" si="23"/>
        <v>0</v>
      </c>
      <c r="J101" s="52"/>
      <c r="K101" s="33">
        <f t="shared" si="15"/>
        <v>12.037037037037036</v>
      </c>
      <c r="L101" s="33">
        <f t="shared" si="18"/>
        <v>9.2601916100371842</v>
      </c>
      <c r="M101" s="33">
        <f t="shared" si="19"/>
        <v>10.557510576018821</v>
      </c>
      <c r="N101" s="114" t="str">
        <f t="shared" si="20"/>
        <v>0</v>
      </c>
      <c r="O101" s="152"/>
      <c r="P101" s="152"/>
      <c r="Q101" s="152"/>
      <c r="R101" s="152"/>
      <c r="S101" s="153"/>
    </row>
    <row r="102" spans="1:19">
      <c r="A102" s="58"/>
      <c r="B102" s="58"/>
      <c r="C102" s="131">
        <f t="shared" si="22"/>
        <v>42151</v>
      </c>
      <c r="D102" s="32"/>
      <c r="E102" s="44"/>
      <c r="F102" s="36">
        <f t="shared" si="14"/>
        <v>0</v>
      </c>
      <c r="G102" s="37">
        <f t="shared" si="16"/>
        <v>0</v>
      </c>
      <c r="H102" s="114" t="str">
        <f t="shared" si="17"/>
        <v>0</v>
      </c>
      <c r="I102" s="114" t="str">
        <f t="shared" si="23"/>
        <v>0</v>
      </c>
      <c r="J102" s="52"/>
      <c r="K102" s="33">
        <f t="shared" si="15"/>
        <v>12.037037037037036</v>
      </c>
      <c r="L102" s="33">
        <f t="shared" si="18"/>
        <v>9.2601916100371842</v>
      </c>
      <c r="M102" s="33">
        <f t="shared" si="19"/>
        <v>10.557510576018821</v>
      </c>
      <c r="N102" s="114" t="str">
        <f t="shared" si="20"/>
        <v>0</v>
      </c>
      <c r="O102" s="152"/>
      <c r="P102" s="152"/>
      <c r="Q102" s="152"/>
      <c r="R102" s="152"/>
      <c r="S102" s="153"/>
    </row>
    <row r="103" spans="1:19">
      <c r="A103" s="58"/>
      <c r="B103" s="58"/>
      <c r="C103" s="131">
        <f t="shared" si="22"/>
        <v>42158</v>
      </c>
      <c r="D103" s="32"/>
      <c r="E103" s="44"/>
      <c r="F103" s="36">
        <f t="shared" ref="F103:F111" si="24">ROUND(E103*A103,0)</f>
        <v>0</v>
      </c>
      <c r="G103" s="37">
        <f t="shared" si="16"/>
        <v>0</v>
      </c>
      <c r="H103" s="114" t="str">
        <f t="shared" si="17"/>
        <v>0</v>
      </c>
      <c r="I103" s="114" t="str">
        <f t="shared" si="23"/>
        <v>0</v>
      </c>
      <c r="J103" s="52"/>
      <c r="K103" s="33">
        <f t="shared" ref="K103:K138" si="25">$J$3</f>
        <v>12.037037037037036</v>
      </c>
      <c r="L103" s="33">
        <f t="shared" si="18"/>
        <v>9.2601916100371842</v>
      </c>
      <c r="M103" s="33">
        <f t="shared" si="19"/>
        <v>10.557510576018821</v>
      </c>
      <c r="N103" s="114" t="str">
        <f t="shared" si="20"/>
        <v>0</v>
      </c>
      <c r="O103" s="152"/>
      <c r="P103" s="152"/>
      <c r="Q103" s="152"/>
      <c r="R103" s="152"/>
      <c r="S103" s="153"/>
    </row>
    <row r="104" spans="1:19">
      <c r="A104" s="58"/>
      <c r="B104" s="58"/>
      <c r="C104" s="131">
        <f t="shared" si="22"/>
        <v>42165</v>
      </c>
      <c r="D104" s="32"/>
      <c r="E104" s="44"/>
      <c r="F104" s="36">
        <f t="shared" si="24"/>
        <v>0</v>
      </c>
      <c r="G104" s="37">
        <f t="shared" si="16"/>
        <v>0</v>
      </c>
      <c r="H104" s="114" t="str">
        <f t="shared" ref="H104:H112" si="26">IF($D104=0,"0",(D104-D103)*$A$3)</f>
        <v>0</v>
      </c>
      <c r="I104" s="114" t="str">
        <f t="shared" si="23"/>
        <v>0</v>
      </c>
      <c r="J104" s="52"/>
      <c r="K104" s="33">
        <f t="shared" si="25"/>
        <v>12.037037037037036</v>
      </c>
      <c r="L104" s="33">
        <f t="shared" si="18"/>
        <v>9.2601916100371842</v>
      </c>
      <c r="M104" s="33">
        <f t="shared" si="19"/>
        <v>10.557510576018821</v>
      </c>
      <c r="N104" s="114" t="str">
        <f t="shared" si="20"/>
        <v>0</v>
      </c>
      <c r="O104" s="152"/>
      <c r="P104" s="152"/>
      <c r="Q104" s="152"/>
      <c r="R104" s="152"/>
      <c r="S104" s="153"/>
    </row>
    <row r="105" spans="1:19">
      <c r="A105" s="58"/>
      <c r="B105" s="58"/>
      <c r="C105" s="131">
        <f t="shared" si="22"/>
        <v>42172</v>
      </c>
      <c r="D105" s="32"/>
      <c r="E105" s="44"/>
      <c r="F105" s="36">
        <f t="shared" si="24"/>
        <v>0</v>
      </c>
      <c r="G105" s="37">
        <f t="shared" si="16"/>
        <v>0</v>
      </c>
      <c r="H105" s="114" t="str">
        <f t="shared" si="26"/>
        <v>0</v>
      </c>
      <c r="I105" s="114" t="str">
        <f t="shared" si="23"/>
        <v>0</v>
      </c>
      <c r="J105" s="52"/>
      <c r="K105" s="33">
        <f t="shared" si="25"/>
        <v>12.037037037037036</v>
      </c>
      <c r="L105" s="33">
        <f t="shared" si="18"/>
        <v>9.2601916100371842</v>
      </c>
      <c r="M105" s="33">
        <f t="shared" si="19"/>
        <v>10.557510576018821</v>
      </c>
      <c r="N105" s="114" t="str">
        <f t="shared" si="20"/>
        <v>0</v>
      </c>
      <c r="O105" s="152"/>
      <c r="P105" s="152"/>
      <c r="Q105" s="152"/>
      <c r="R105" s="152"/>
      <c r="S105" s="153"/>
    </row>
    <row r="106" spans="1:19">
      <c r="A106" s="58"/>
      <c r="B106" s="58"/>
      <c r="C106" s="131">
        <f t="shared" si="22"/>
        <v>42179</v>
      </c>
      <c r="D106" s="32"/>
      <c r="E106" s="44"/>
      <c r="F106" s="36">
        <f t="shared" si="24"/>
        <v>0</v>
      </c>
      <c r="G106" s="37">
        <f t="shared" si="16"/>
        <v>0</v>
      </c>
      <c r="H106" s="114" t="str">
        <f t="shared" si="26"/>
        <v>0</v>
      </c>
      <c r="I106" s="114" t="str">
        <f t="shared" si="23"/>
        <v>0</v>
      </c>
      <c r="J106" s="52"/>
      <c r="K106" s="33">
        <f t="shared" si="25"/>
        <v>12.037037037037036</v>
      </c>
      <c r="L106" s="33">
        <f t="shared" si="18"/>
        <v>9.2601916100371842</v>
      </c>
      <c r="M106" s="33">
        <f t="shared" si="19"/>
        <v>10.557510576018821</v>
      </c>
      <c r="N106" s="114" t="str">
        <f t="shared" si="20"/>
        <v>0</v>
      </c>
      <c r="O106" s="152"/>
      <c r="P106" s="152"/>
      <c r="Q106" s="152"/>
      <c r="R106" s="152"/>
      <c r="S106" s="153"/>
    </row>
    <row r="107" spans="1:19">
      <c r="A107" s="58"/>
      <c r="B107" s="58"/>
      <c r="C107" s="131">
        <f t="shared" si="22"/>
        <v>42186</v>
      </c>
      <c r="D107" s="32"/>
      <c r="E107" s="44"/>
      <c r="F107" s="36">
        <f t="shared" si="24"/>
        <v>0</v>
      </c>
      <c r="G107" s="37">
        <f t="shared" si="16"/>
        <v>0</v>
      </c>
      <c r="H107" s="114" t="str">
        <f t="shared" si="26"/>
        <v>0</v>
      </c>
      <c r="I107" s="114" t="str">
        <f t="shared" si="23"/>
        <v>0</v>
      </c>
      <c r="J107" s="52"/>
      <c r="K107" s="33">
        <f t="shared" si="25"/>
        <v>12.037037037037036</v>
      </c>
      <c r="L107" s="33">
        <f t="shared" si="18"/>
        <v>9.2601916100371842</v>
      </c>
      <c r="M107" s="33">
        <f t="shared" si="19"/>
        <v>10.557510576018821</v>
      </c>
      <c r="N107" s="114" t="str">
        <f t="shared" si="20"/>
        <v>0</v>
      </c>
      <c r="O107" s="152"/>
      <c r="P107" s="152"/>
      <c r="Q107" s="152"/>
      <c r="R107" s="152"/>
      <c r="S107" s="153"/>
    </row>
    <row r="108" spans="1:19">
      <c r="A108" s="58"/>
      <c r="B108" s="58"/>
      <c r="C108" s="131">
        <f t="shared" si="22"/>
        <v>42193</v>
      </c>
      <c r="D108" s="32"/>
      <c r="E108" s="44"/>
      <c r="F108" s="36">
        <f t="shared" si="24"/>
        <v>0</v>
      </c>
      <c r="G108" s="37">
        <f t="shared" si="16"/>
        <v>0</v>
      </c>
      <c r="H108" s="114" t="str">
        <f t="shared" si="26"/>
        <v>0</v>
      </c>
      <c r="I108" s="114" t="str">
        <f t="shared" si="23"/>
        <v>0</v>
      </c>
      <c r="J108" s="52"/>
      <c r="K108" s="33">
        <f t="shared" si="25"/>
        <v>12.037037037037036</v>
      </c>
      <c r="L108" s="33">
        <f t="shared" si="18"/>
        <v>9.2601916100371842</v>
      </c>
      <c r="M108" s="33">
        <f t="shared" si="19"/>
        <v>10.557510576018821</v>
      </c>
      <c r="N108" s="114" t="str">
        <f t="shared" si="20"/>
        <v>0</v>
      </c>
      <c r="O108" s="152"/>
      <c r="P108" s="152"/>
      <c r="Q108" s="152"/>
      <c r="R108" s="152"/>
      <c r="S108" s="153"/>
    </row>
    <row r="109" spans="1:19">
      <c r="A109" s="58"/>
      <c r="B109" s="58"/>
      <c r="C109" s="131">
        <f t="shared" si="22"/>
        <v>42200</v>
      </c>
      <c r="D109" s="32"/>
      <c r="E109" s="44"/>
      <c r="F109" s="36">
        <f t="shared" si="24"/>
        <v>0</v>
      </c>
      <c r="G109" s="37">
        <f t="shared" si="16"/>
        <v>0</v>
      </c>
      <c r="H109" s="114" t="str">
        <f t="shared" si="26"/>
        <v>0</v>
      </c>
      <c r="I109" s="114" t="str">
        <f t="shared" si="23"/>
        <v>0</v>
      </c>
      <c r="J109" s="52"/>
      <c r="K109" s="33">
        <f t="shared" si="25"/>
        <v>12.037037037037036</v>
      </c>
      <c r="L109" s="33">
        <f t="shared" si="18"/>
        <v>9.2601916100371842</v>
      </c>
      <c r="M109" s="33">
        <f t="shared" si="19"/>
        <v>10.557510576018821</v>
      </c>
      <c r="N109" s="114" t="str">
        <f t="shared" si="20"/>
        <v>0</v>
      </c>
      <c r="O109" s="152"/>
      <c r="P109" s="152"/>
      <c r="Q109" s="152"/>
      <c r="R109" s="152"/>
      <c r="S109" s="153"/>
    </row>
    <row r="110" spans="1:19">
      <c r="A110" s="58"/>
      <c r="B110" s="58"/>
      <c r="C110" s="131">
        <f t="shared" si="22"/>
        <v>42207</v>
      </c>
      <c r="D110" s="32"/>
      <c r="E110" s="44"/>
      <c r="F110" s="36">
        <f t="shared" si="24"/>
        <v>0</v>
      </c>
      <c r="G110" s="37">
        <f t="shared" si="16"/>
        <v>0</v>
      </c>
      <c r="H110" s="114" t="str">
        <f t="shared" si="26"/>
        <v>0</v>
      </c>
      <c r="I110" s="114" t="str">
        <f t="shared" si="23"/>
        <v>0</v>
      </c>
      <c r="J110" s="52"/>
      <c r="K110" s="33">
        <f t="shared" si="25"/>
        <v>12.037037037037036</v>
      </c>
      <c r="L110" s="33">
        <f t="shared" si="18"/>
        <v>9.2601916100371842</v>
      </c>
      <c r="M110" s="33">
        <f t="shared" si="19"/>
        <v>10.557510576018821</v>
      </c>
      <c r="N110" s="114" t="str">
        <f t="shared" si="20"/>
        <v>0</v>
      </c>
      <c r="O110" s="152"/>
      <c r="P110" s="152"/>
      <c r="Q110" s="152"/>
      <c r="R110" s="152"/>
      <c r="S110" s="153"/>
    </row>
    <row r="111" spans="1:19">
      <c r="A111" s="58"/>
      <c r="B111" s="58"/>
      <c r="C111" s="131">
        <f t="shared" si="22"/>
        <v>42214</v>
      </c>
      <c r="D111" s="32"/>
      <c r="E111" s="44"/>
      <c r="F111" s="36">
        <f t="shared" si="24"/>
        <v>0</v>
      </c>
      <c r="G111" s="37">
        <f t="shared" si="16"/>
        <v>0</v>
      </c>
      <c r="H111" s="114" t="str">
        <f t="shared" si="26"/>
        <v>0</v>
      </c>
      <c r="I111" s="114" t="str">
        <f t="shared" si="23"/>
        <v>0</v>
      </c>
      <c r="J111" s="52"/>
      <c r="K111" s="33">
        <f t="shared" si="25"/>
        <v>12.037037037037036</v>
      </c>
      <c r="L111" s="33">
        <f t="shared" si="18"/>
        <v>9.2601916100371842</v>
      </c>
      <c r="M111" s="33">
        <f t="shared" si="19"/>
        <v>10.557510576018821</v>
      </c>
      <c r="N111" s="114" t="str">
        <f t="shared" si="20"/>
        <v>0</v>
      </c>
      <c r="O111" s="152"/>
      <c r="P111" s="152"/>
      <c r="Q111" s="152"/>
      <c r="R111" s="152"/>
      <c r="S111" s="153"/>
    </row>
    <row r="112" spans="1:19" ht="16.5" thickBot="1">
      <c r="A112" s="59"/>
      <c r="B112" s="59"/>
      <c r="C112" s="137">
        <f t="shared" si="22"/>
        <v>42221</v>
      </c>
      <c r="D112" s="49"/>
      <c r="E112" s="46"/>
      <c r="F112" s="47">
        <f>ROUND(E112*汽車vs機車!$B$17,0)</f>
        <v>0</v>
      </c>
      <c r="G112" s="48">
        <f t="shared" si="16"/>
        <v>0</v>
      </c>
      <c r="H112" s="117" t="str">
        <f t="shared" si="26"/>
        <v>0</v>
      </c>
      <c r="I112" s="117" t="str">
        <f t="shared" si="23"/>
        <v>0</v>
      </c>
      <c r="J112" s="53"/>
      <c r="K112" s="50">
        <f t="shared" si="25"/>
        <v>12.037037037037036</v>
      </c>
      <c r="L112" s="50">
        <f t="shared" si="18"/>
        <v>9.2601916100371842</v>
      </c>
      <c r="M112" s="50">
        <f t="shared" si="19"/>
        <v>10.557510576018821</v>
      </c>
      <c r="N112" s="117" t="str">
        <f t="shared" si="20"/>
        <v>0</v>
      </c>
      <c r="O112" s="154"/>
      <c r="P112" s="154"/>
      <c r="Q112" s="154"/>
      <c r="R112" s="154"/>
      <c r="S112" s="155"/>
    </row>
    <row r="113" spans="3:13">
      <c r="C113" s="9"/>
      <c r="E113" s="5"/>
      <c r="H113" s="3"/>
      <c r="I113" s="3"/>
      <c r="K113" s="4">
        <f t="shared" si="25"/>
        <v>12.037037037037036</v>
      </c>
      <c r="L113" s="4">
        <f t="shared" si="18"/>
        <v>9.2601916100371842</v>
      </c>
      <c r="M113" s="4">
        <f t="shared" si="19"/>
        <v>10.557510576018821</v>
      </c>
    </row>
    <row r="114" spans="3:13">
      <c r="C114" s="9"/>
      <c r="E114" s="5"/>
      <c r="H114" s="3"/>
      <c r="I114" s="3"/>
      <c r="K114" s="4">
        <f t="shared" si="25"/>
        <v>12.037037037037036</v>
      </c>
      <c r="L114" s="4">
        <f t="shared" si="18"/>
        <v>9.2601916100371842</v>
      </c>
      <c r="M114" s="4">
        <f t="shared" si="19"/>
        <v>10.557510576018821</v>
      </c>
    </row>
    <row r="115" spans="3:13">
      <c r="C115" s="9"/>
      <c r="E115" s="5"/>
      <c r="H115" s="3"/>
      <c r="I115" s="3"/>
      <c r="K115" s="4">
        <f t="shared" si="25"/>
        <v>12.037037037037036</v>
      </c>
      <c r="L115" s="4">
        <f t="shared" si="18"/>
        <v>9.2601916100371842</v>
      </c>
      <c r="M115" s="4">
        <f t="shared" si="19"/>
        <v>10.557510576018821</v>
      </c>
    </row>
    <row r="116" spans="3:13">
      <c r="C116" s="9"/>
      <c r="E116" s="5"/>
      <c r="H116" s="3"/>
      <c r="I116" s="3"/>
      <c r="K116" s="4">
        <f t="shared" si="25"/>
        <v>12.037037037037036</v>
      </c>
      <c r="L116" s="4">
        <f t="shared" si="18"/>
        <v>9.2601916100371842</v>
      </c>
      <c r="M116" s="4">
        <f t="shared" si="19"/>
        <v>10.557510576018821</v>
      </c>
    </row>
    <row r="117" spans="3:13">
      <c r="C117" s="9"/>
      <c r="E117" s="5"/>
      <c r="H117" s="3"/>
      <c r="I117" s="3"/>
      <c r="K117" s="4">
        <f t="shared" si="25"/>
        <v>12.037037037037036</v>
      </c>
      <c r="L117" s="4">
        <f t="shared" si="18"/>
        <v>9.2601916100371842</v>
      </c>
      <c r="M117" s="4">
        <f t="shared" si="19"/>
        <v>10.557510576018821</v>
      </c>
    </row>
    <row r="118" spans="3:13">
      <c r="C118" s="9"/>
      <c r="E118" s="5"/>
      <c r="H118" s="3"/>
      <c r="I118" s="3"/>
      <c r="K118" s="4">
        <f t="shared" si="25"/>
        <v>12.037037037037036</v>
      </c>
      <c r="L118" s="4">
        <f t="shared" si="18"/>
        <v>9.2601916100371842</v>
      </c>
      <c r="M118" s="4">
        <f t="shared" si="19"/>
        <v>10.557510576018821</v>
      </c>
    </row>
    <row r="119" spans="3:13">
      <c r="C119" s="9"/>
      <c r="E119" s="5"/>
      <c r="H119" s="3"/>
      <c r="I119" s="3"/>
      <c r="K119" s="4">
        <f t="shared" si="25"/>
        <v>12.037037037037036</v>
      </c>
      <c r="L119" s="4">
        <f t="shared" si="18"/>
        <v>9.2601916100371842</v>
      </c>
      <c r="M119" s="4">
        <f t="shared" si="19"/>
        <v>10.557510576018821</v>
      </c>
    </row>
    <row r="120" spans="3:13">
      <c r="C120" s="9"/>
      <c r="E120" s="5"/>
      <c r="H120" s="3"/>
      <c r="I120" s="3"/>
      <c r="K120" s="4">
        <f t="shared" si="25"/>
        <v>12.037037037037036</v>
      </c>
      <c r="L120" s="4">
        <f t="shared" si="18"/>
        <v>9.2601916100371842</v>
      </c>
      <c r="M120" s="4">
        <f t="shared" si="19"/>
        <v>10.557510576018821</v>
      </c>
    </row>
    <row r="121" spans="3:13">
      <c r="C121" s="9"/>
      <c r="E121" s="5"/>
      <c r="H121" s="3"/>
      <c r="I121" s="3"/>
      <c r="K121" s="4">
        <f t="shared" si="25"/>
        <v>12.037037037037036</v>
      </c>
      <c r="L121" s="4">
        <f t="shared" si="18"/>
        <v>9.2601916100371842</v>
      </c>
      <c r="M121" s="4">
        <f t="shared" si="19"/>
        <v>10.557510576018821</v>
      </c>
    </row>
    <row r="122" spans="3:13">
      <c r="C122" s="9"/>
      <c r="E122" s="5"/>
      <c r="H122" s="3"/>
      <c r="I122" s="3"/>
      <c r="K122" s="4">
        <f t="shared" si="25"/>
        <v>12.037037037037036</v>
      </c>
      <c r="L122" s="4">
        <f t="shared" si="18"/>
        <v>9.2601916100371842</v>
      </c>
      <c r="M122" s="4">
        <f t="shared" si="19"/>
        <v>10.557510576018821</v>
      </c>
    </row>
    <row r="123" spans="3:13">
      <c r="C123" s="9"/>
      <c r="E123" s="5"/>
      <c r="H123" s="3"/>
      <c r="I123" s="3"/>
      <c r="K123" s="4">
        <f t="shared" si="25"/>
        <v>12.037037037037036</v>
      </c>
      <c r="L123" s="4">
        <f t="shared" si="18"/>
        <v>9.2601916100371842</v>
      </c>
      <c r="M123" s="4">
        <f t="shared" si="19"/>
        <v>10.557510576018821</v>
      </c>
    </row>
    <row r="124" spans="3:13">
      <c r="C124" s="9"/>
      <c r="E124" s="5"/>
      <c r="H124" s="3"/>
      <c r="I124" s="3"/>
      <c r="K124" s="4">
        <f t="shared" si="25"/>
        <v>12.037037037037036</v>
      </c>
      <c r="L124" s="4">
        <f t="shared" si="18"/>
        <v>9.2601916100371842</v>
      </c>
      <c r="M124" s="4">
        <f t="shared" si="19"/>
        <v>10.557510576018821</v>
      </c>
    </row>
    <row r="125" spans="3:13">
      <c r="C125" s="9"/>
      <c r="E125" s="5"/>
      <c r="H125" s="3"/>
      <c r="I125" s="3"/>
      <c r="K125" s="4">
        <f t="shared" si="25"/>
        <v>12.037037037037036</v>
      </c>
      <c r="L125" s="4">
        <f t="shared" si="18"/>
        <v>9.2601916100371842</v>
      </c>
      <c r="M125" s="4">
        <f t="shared" si="19"/>
        <v>10.557510576018821</v>
      </c>
    </row>
    <row r="126" spans="3:13">
      <c r="C126" s="9"/>
      <c r="E126" s="5"/>
      <c r="H126" s="3"/>
      <c r="I126" s="3"/>
      <c r="K126" s="4">
        <f t="shared" si="25"/>
        <v>12.037037037037036</v>
      </c>
      <c r="L126" s="4">
        <f t="shared" si="18"/>
        <v>9.2601916100371842</v>
      </c>
      <c r="M126" s="4">
        <f t="shared" si="19"/>
        <v>10.557510576018821</v>
      </c>
    </row>
    <row r="127" spans="3:13">
      <c r="C127" s="9"/>
      <c r="E127" s="5"/>
      <c r="H127" s="3"/>
      <c r="I127" s="3"/>
      <c r="K127" s="4">
        <f t="shared" si="25"/>
        <v>12.037037037037036</v>
      </c>
      <c r="L127" s="4">
        <f t="shared" si="18"/>
        <v>9.2601916100371842</v>
      </c>
      <c r="M127" s="4">
        <f t="shared" si="19"/>
        <v>10.557510576018821</v>
      </c>
    </row>
    <row r="128" spans="3:13">
      <c r="C128" s="9"/>
      <c r="E128" s="5"/>
      <c r="H128" s="3"/>
      <c r="I128" s="3"/>
      <c r="K128" s="4">
        <f t="shared" si="25"/>
        <v>12.037037037037036</v>
      </c>
      <c r="L128" s="4">
        <f t="shared" si="18"/>
        <v>9.2601916100371842</v>
      </c>
      <c r="M128" s="4">
        <f t="shared" si="19"/>
        <v>10.557510576018821</v>
      </c>
    </row>
    <row r="129" spans="3:13">
      <c r="C129" s="9"/>
      <c r="E129" s="5"/>
      <c r="H129" s="3"/>
      <c r="I129" s="3"/>
      <c r="K129" s="4">
        <f t="shared" si="25"/>
        <v>12.037037037037036</v>
      </c>
      <c r="L129" s="4">
        <f t="shared" si="18"/>
        <v>9.2601916100371842</v>
      </c>
      <c r="M129" s="4">
        <f t="shared" si="19"/>
        <v>10.557510576018821</v>
      </c>
    </row>
    <row r="130" spans="3:13">
      <c r="C130" s="9"/>
      <c r="E130" s="5"/>
      <c r="H130" s="3"/>
      <c r="I130" s="3"/>
      <c r="K130" s="4">
        <f t="shared" si="25"/>
        <v>12.037037037037036</v>
      </c>
      <c r="L130" s="4">
        <f t="shared" si="18"/>
        <v>9.2601916100371842</v>
      </c>
      <c r="M130" s="4">
        <f t="shared" si="19"/>
        <v>10.557510576018821</v>
      </c>
    </row>
    <row r="131" spans="3:13">
      <c r="C131" s="9"/>
      <c r="E131" s="5"/>
      <c r="H131" s="3"/>
      <c r="I131" s="3"/>
      <c r="K131" s="4">
        <f t="shared" si="25"/>
        <v>12.037037037037036</v>
      </c>
      <c r="L131" s="4">
        <f t="shared" si="18"/>
        <v>9.2601916100371842</v>
      </c>
      <c r="M131" s="4">
        <f t="shared" si="19"/>
        <v>10.557510576018821</v>
      </c>
    </row>
    <row r="132" spans="3:13">
      <c r="C132" s="9"/>
      <c r="E132" s="5"/>
      <c r="H132" s="3"/>
      <c r="I132" s="3"/>
      <c r="K132" s="4">
        <f t="shared" si="25"/>
        <v>12.037037037037036</v>
      </c>
      <c r="L132" s="4">
        <f t="shared" si="18"/>
        <v>9.2601916100371842</v>
      </c>
      <c r="M132" s="4">
        <f t="shared" si="19"/>
        <v>10.557510576018821</v>
      </c>
    </row>
    <row r="133" spans="3:13">
      <c r="C133" s="9"/>
      <c r="E133" s="5"/>
      <c r="H133" s="3"/>
      <c r="I133" s="3"/>
      <c r="K133" s="4">
        <f t="shared" si="25"/>
        <v>12.037037037037036</v>
      </c>
      <c r="L133" s="4">
        <f t="shared" si="18"/>
        <v>9.2601916100371842</v>
      </c>
      <c r="M133" s="4">
        <f t="shared" si="19"/>
        <v>10.557510576018821</v>
      </c>
    </row>
    <row r="134" spans="3:13">
      <c r="C134" s="9"/>
      <c r="E134" s="5"/>
      <c r="H134" s="3"/>
      <c r="I134" s="3"/>
      <c r="K134" s="4">
        <f t="shared" si="25"/>
        <v>12.037037037037036</v>
      </c>
      <c r="L134" s="4">
        <f t="shared" si="18"/>
        <v>9.2601916100371842</v>
      </c>
      <c r="M134" s="4">
        <f t="shared" si="19"/>
        <v>10.557510576018821</v>
      </c>
    </row>
    <row r="135" spans="3:13">
      <c r="C135" s="9"/>
      <c r="E135" s="5"/>
      <c r="H135" s="3"/>
      <c r="I135" s="3"/>
      <c r="K135" s="4">
        <f t="shared" si="25"/>
        <v>12.037037037037036</v>
      </c>
      <c r="L135" s="4">
        <f t="shared" si="18"/>
        <v>9.2601916100371842</v>
      </c>
      <c r="M135" s="4">
        <f t="shared" si="19"/>
        <v>10.557510576018821</v>
      </c>
    </row>
    <row r="136" spans="3:13">
      <c r="C136" s="9"/>
      <c r="E136" s="5"/>
      <c r="H136" s="3"/>
      <c r="I136" s="3"/>
      <c r="K136" s="4">
        <f t="shared" si="25"/>
        <v>12.037037037037036</v>
      </c>
      <c r="L136" s="4">
        <f>$O$3</f>
        <v>9.2601916100371842</v>
      </c>
      <c r="M136" s="4">
        <f>$P$3</f>
        <v>10.557510576018821</v>
      </c>
    </row>
    <row r="137" spans="3:13">
      <c r="C137" s="9"/>
      <c r="E137" s="5"/>
      <c r="H137" s="3"/>
      <c r="I137" s="3"/>
      <c r="K137" s="4">
        <f t="shared" si="25"/>
        <v>12.037037037037036</v>
      </c>
      <c r="L137" s="4">
        <f>$O$3</f>
        <v>9.2601916100371842</v>
      </c>
      <c r="M137" s="4">
        <f>$P$3</f>
        <v>10.557510576018821</v>
      </c>
    </row>
    <row r="138" spans="3:13">
      <c r="C138" s="9"/>
      <c r="E138" s="5"/>
      <c r="H138" s="3"/>
      <c r="I138" s="3"/>
      <c r="K138" s="4">
        <f t="shared" si="25"/>
        <v>12.037037037037036</v>
      </c>
      <c r="L138" s="4">
        <f>$O$3</f>
        <v>9.2601916100371842</v>
      </c>
      <c r="M138" s="4">
        <f>$P$3</f>
        <v>10.557510576018821</v>
      </c>
    </row>
    <row r="139" spans="3:13">
      <c r="C139" s="9"/>
      <c r="E139" s="5"/>
      <c r="H139" s="3"/>
      <c r="I139" s="3"/>
    </row>
    <row r="140" spans="3:13">
      <c r="C140" s="9"/>
      <c r="E140" s="5"/>
      <c r="H140" s="3"/>
      <c r="I140" s="3"/>
    </row>
    <row r="141" spans="3:13">
      <c r="C141" s="9"/>
      <c r="E141" s="5"/>
      <c r="H141" s="3"/>
      <c r="I141" s="3"/>
    </row>
    <row r="142" spans="3:13">
      <c r="C142" s="9"/>
      <c r="E142" s="5"/>
      <c r="H142" s="3"/>
      <c r="I142" s="3"/>
    </row>
    <row r="143" spans="3:13">
      <c r="C143" s="9"/>
      <c r="E143" s="5"/>
      <c r="H143" s="3"/>
      <c r="I143" s="3"/>
    </row>
    <row r="144" spans="3:13">
      <c r="C144" s="9"/>
      <c r="E144" s="5"/>
      <c r="H144" s="3"/>
      <c r="I144" s="3"/>
    </row>
    <row r="145" spans="3:9">
      <c r="C145" s="9"/>
      <c r="E145" s="5"/>
      <c r="H145" s="3"/>
      <c r="I145" s="3"/>
    </row>
    <row r="146" spans="3:9">
      <c r="C146" s="9"/>
      <c r="E146" s="5"/>
      <c r="H146" s="3"/>
      <c r="I146" s="3"/>
    </row>
    <row r="147" spans="3:9">
      <c r="C147" s="9"/>
      <c r="E147" s="5"/>
      <c r="H147" s="3"/>
      <c r="I147" s="3"/>
    </row>
    <row r="148" spans="3:9">
      <c r="C148" s="9"/>
      <c r="E148" s="5"/>
      <c r="H148" s="3"/>
      <c r="I148" s="3"/>
    </row>
    <row r="149" spans="3:9">
      <c r="C149" s="9"/>
      <c r="E149" s="5"/>
      <c r="H149" s="3"/>
      <c r="I149" s="3"/>
    </row>
    <row r="150" spans="3:9">
      <c r="C150" s="9"/>
      <c r="E150" s="5"/>
      <c r="H150" s="3"/>
      <c r="I150" s="3"/>
    </row>
    <row r="151" spans="3:9">
      <c r="C151" s="9"/>
      <c r="E151" s="5"/>
      <c r="H151" s="3"/>
      <c r="I151" s="3"/>
    </row>
    <row r="152" spans="3:9">
      <c r="C152" s="9"/>
      <c r="E152" s="5"/>
      <c r="H152" s="3"/>
      <c r="I152" s="3"/>
    </row>
    <row r="153" spans="3:9">
      <c r="C153" s="9"/>
      <c r="E153" s="5"/>
      <c r="H153" s="3"/>
      <c r="I153" s="3"/>
    </row>
    <row r="154" spans="3:9">
      <c r="C154" s="9"/>
      <c r="E154" s="5"/>
      <c r="H154" s="3"/>
      <c r="I154" s="3"/>
    </row>
    <row r="155" spans="3:9">
      <c r="C155" s="9"/>
      <c r="E155" s="5"/>
      <c r="H155" s="3"/>
      <c r="I155" s="3"/>
    </row>
    <row r="156" spans="3:9">
      <c r="C156" s="9"/>
      <c r="E156" s="5"/>
      <c r="H156" s="3"/>
      <c r="I156" s="3"/>
    </row>
    <row r="157" spans="3:9">
      <c r="C157" s="9"/>
      <c r="E157" s="5"/>
      <c r="H157" s="3"/>
      <c r="I157" s="3"/>
    </row>
    <row r="158" spans="3:9">
      <c r="C158" s="9"/>
      <c r="E158" s="5"/>
      <c r="H158" s="3"/>
      <c r="I158" s="3"/>
    </row>
    <row r="159" spans="3:9">
      <c r="C159" s="9"/>
      <c r="E159" s="5"/>
      <c r="H159" s="3"/>
      <c r="I159" s="3"/>
    </row>
    <row r="160" spans="3:9">
      <c r="C160" s="9"/>
      <c r="E160" s="5"/>
      <c r="H160" s="3"/>
      <c r="I160" s="3"/>
    </row>
    <row r="161" spans="3:9">
      <c r="C161" s="9"/>
      <c r="E161" s="5"/>
      <c r="H161" s="3"/>
      <c r="I161" s="3"/>
    </row>
    <row r="162" spans="3:9">
      <c r="C162" s="9"/>
      <c r="E162" s="5"/>
      <c r="H162" s="3"/>
      <c r="I162" s="3"/>
    </row>
    <row r="163" spans="3:9">
      <c r="C163" s="9"/>
      <c r="E163" s="5"/>
      <c r="H163" s="3"/>
      <c r="I163" s="3"/>
    </row>
    <row r="164" spans="3:9">
      <c r="C164" s="9"/>
      <c r="E164" s="5"/>
      <c r="H164" s="3"/>
      <c r="I164" s="3"/>
    </row>
    <row r="165" spans="3:9">
      <c r="C165" s="9"/>
      <c r="E165" s="5"/>
      <c r="H165" s="3"/>
      <c r="I165" s="3"/>
    </row>
    <row r="166" spans="3:9">
      <c r="C166" s="9"/>
      <c r="E166" s="5"/>
      <c r="H166" s="3"/>
      <c r="I166" s="3"/>
    </row>
    <row r="167" spans="3:9">
      <c r="C167" s="9"/>
      <c r="E167" s="5"/>
      <c r="H167" s="3"/>
      <c r="I167" s="3"/>
    </row>
    <row r="168" spans="3:9">
      <c r="C168" s="9"/>
      <c r="E168" s="5"/>
      <c r="H168" s="3"/>
      <c r="I168" s="3"/>
    </row>
    <row r="169" spans="3:9">
      <c r="C169" s="9"/>
      <c r="E169" s="5"/>
      <c r="H169" s="3"/>
      <c r="I169" s="3"/>
    </row>
    <row r="170" spans="3:9">
      <c r="C170" s="9"/>
      <c r="E170" s="5"/>
      <c r="H170" s="3"/>
      <c r="I170" s="3"/>
    </row>
    <row r="171" spans="3:9">
      <c r="C171" s="9"/>
      <c r="E171" s="5"/>
      <c r="H171" s="3"/>
      <c r="I171" s="3"/>
    </row>
    <row r="172" spans="3:9">
      <c r="C172" s="9"/>
      <c r="E172" s="5"/>
      <c r="H172" s="3"/>
      <c r="I172" s="3"/>
    </row>
    <row r="173" spans="3:9">
      <c r="C173" s="9"/>
      <c r="E173" s="5"/>
      <c r="H173" s="3"/>
      <c r="I173" s="3"/>
    </row>
    <row r="174" spans="3:9">
      <c r="C174" s="9"/>
      <c r="E174" s="5"/>
      <c r="H174" s="3"/>
      <c r="I174" s="3"/>
    </row>
    <row r="175" spans="3:9">
      <c r="C175" s="9"/>
      <c r="E175" s="5"/>
      <c r="H175" s="3"/>
      <c r="I175" s="3"/>
    </row>
    <row r="176" spans="3:9">
      <c r="C176" s="9"/>
      <c r="E176" s="5"/>
      <c r="H176" s="3"/>
      <c r="I176" s="3"/>
    </row>
    <row r="177" spans="3:9">
      <c r="C177" s="9"/>
      <c r="E177" s="5"/>
      <c r="H177" s="3"/>
      <c r="I177" s="3"/>
    </row>
    <row r="178" spans="3:9">
      <c r="C178" s="9"/>
      <c r="E178" s="5"/>
      <c r="H178" s="3"/>
      <c r="I178" s="3"/>
    </row>
    <row r="179" spans="3:9">
      <c r="C179" s="9"/>
      <c r="E179" s="5"/>
      <c r="H179" s="3"/>
      <c r="I179" s="3"/>
    </row>
    <row r="180" spans="3:9">
      <c r="C180" s="9"/>
      <c r="E180" s="5"/>
      <c r="H180" s="3"/>
      <c r="I180" s="3"/>
    </row>
    <row r="181" spans="3:9">
      <c r="C181" s="9"/>
      <c r="E181" s="5"/>
      <c r="H181" s="3"/>
      <c r="I181" s="3"/>
    </row>
    <row r="182" spans="3:9">
      <c r="C182" s="9"/>
      <c r="E182" s="5"/>
      <c r="H182" s="3"/>
      <c r="I182" s="3"/>
    </row>
    <row r="183" spans="3:9">
      <c r="C183" s="9"/>
      <c r="E183" s="5"/>
      <c r="H183" s="3"/>
      <c r="I183" s="3"/>
    </row>
    <row r="184" spans="3:9">
      <c r="C184" s="9"/>
      <c r="E184" s="5"/>
      <c r="H184" s="3"/>
      <c r="I184" s="3"/>
    </row>
    <row r="185" spans="3:9">
      <c r="C185" s="9"/>
      <c r="E185" s="5"/>
      <c r="H185" s="3"/>
      <c r="I185" s="3"/>
    </row>
    <row r="186" spans="3:9">
      <c r="C186" s="9"/>
      <c r="E186" s="5"/>
      <c r="H186" s="3"/>
      <c r="I186" s="3"/>
    </row>
    <row r="187" spans="3:9">
      <c r="C187" s="9"/>
      <c r="E187" s="5"/>
      <c r="H187" s="3"/>
      <c r="I187" s="3"/>
    </row>
    <row r="188" spans="3:9">
      <c r="C188" s="9"/>
      <c r="E188" s="5"/>
      <c r="H188" s="3"/>
      <c r="I188" s="3"/>
    </row>
    <row r="189" spans="3:9">
      <c r="C189" s="9"/>
      <c r="E189" s="5"/>
      <c r="H189" s="3"/>
      <c r="I189" s="3"/>
    </row>
    <row r="190" spans="3:9">
      <c r="C190" s="9"/>
      <c r="E190" s="5"/>
      <c r="H190" s="3"/>
      <c r="I190" s="3"/>
    </row>
    <row r="191" spans="3:9">
      <c r="C191" s="9"/>
      <c r="E191" s="5"/>
      <c r="H191" s="3"/>
      <c r="I191" s="3"/>
    </row>
    <row r="192" spans="3:9">
      <c r="C192" s="9"/>
      <c r="E192" s="5"/>
      <c r="H192" s="3"/>
      <c r="I192" s="3"/>
    </row>
    <row r="193" spans="3:9">
      <c r="C193" s="9"/>
      <c r="E193" s="5"/>
      <c r="H193" s="3"/>
      <c r="I193" s="3"/>
    </row>
    <row r="194" spans="3:9">
      <c r="C194" s="9"/>
      <c r="E194" s="5"/>
      <c r="H194" s="3"/>
      <c r="I194" s="3"/>
    </row>
    <row r="195" spans="3:9">
      <c r="C195" s="9"/>
      <c r="E195" s="5"/>
      <c r="H195" s="3"/>
      <c r="I195" s="3"/>
    </row>
    <row r="196" spans="3:9">
      <c r="C196" s="9"/>
      <c r="E196" s="5"/>
      <c r="H196" s="3"/>
      <c r="I196" s="3"/>
    </row>
    <row r="197" spans="3:9">
      <c r="C197" s="9"/>
      <c r="E197" s="5"/>
      <c r="H197" s="3"/>
      <c r="I197" s="3"/>
    </row>
    <row r="198" spans="3:9">
      <c r="C198" s="9"/>
      <c r="E198" s="5"/>
      <c r="H198" s="3"/>
      <c r="I198" s="3"/>
    </row>
    <row r="199" spans="3:9">
      <c r="C199" s="9"/>
      <c r="E199" s="5"/>
      <c r="H199" s="3"/>
      <c r="I199" s="3"/>
    </row>
    <row r="200" spans="3:9">
      <c r="C200" s="9"/>
      <c r="E200" s="5"/>
      <c r="H200" s="3"/>
      <c r="I200" s="3"/>
    </row>
  </sheetData>
  <mergeCells count="111">
    <mergeCell ref="O109:S109"/>
    <mergeCell ref="O110:S110"/>
    <mergeCell ref="O111:S111"/>
    <mergeCell ref="O112:S112"/>
    <mergeCell ref="C5:J5"/>
    <mergeCell ref="O104:S104"/>
    <mergeCell ref="O105:S105"/>
    <mergeCell ref="O106:S106"/>
    <mergeCell ref="O107:S107"/>
    <mergeCell ref="O108:S108"/>
    <mergeCell ref="O99:S99"/>
    <mergeCell ref="O100:S100"/>
    <mergeCell ref="O101:S101"/>
    <mergeCell ref="O102:S102"/>
    <mergeCell ref="O103:S103"/>
    <mergeCell ref="O94:S94"/>
    <mergeCell ref="O95:S95"/>
    <mergeCell ref="O96:S96"/>
    <mergeCell ref="O97:S97"/>
    <mergeCell ref="O98:S98"/>
    <mergeCell ref="O89:S89"/>
    <mergeCell ref="O90:S90"/>
    <mergeCell ref="O91:S91"/>
    <mergeCell ref="O92:S92"/>
    <mergeCell ref="O93:S93"/>
    <mergeCell ref="O84:S84"/>
    <mergeCell ref="O85:S85"/>
    <mergeCell ref="O86:S86"/>
    <mergeCell ref="O87:S87"/>
    <mergeCell ref="O88:S88"/>
    <mergeCell ref="O79:S79"/>
    <mergeCell ref="O80:S80"/>
    <mergeCell ref="O81:S81"/>
    <mergeCell ref="O82:S82"/>
    <mergeCell ref="O83:S83"/>
    <mergeCell ref="O74:S74"/>
    <mergeCell ref="O75:S75"/>
    <mergeCell ref="O76:S76"/>
    <mergeCell ref="O77:S77"/>
    <mergeCell ref="O78:S78"/>
    <mergeCell ref="O69:S69"/>
    <mergeCell ref="O70:S70"/>
    <mergeCell ref="O71:S71"/>
    <mergeCell ref="O72:S72"/>
    <mergeCell ref="O73:S73"/>
    <mergeCell ref="O64:S64"/>
    <mergeCell ref="O65:S65"/>
    <mergeCell ref="O66:S66"/>
    <mergeCell ref="O67:S67"/>
    <mergeCell ref="O68:S68"/>
    <mergeCell ref="O59:S59"/>
    <mergeCell ref="O60:S60"/>
    <mergeCell ref="O61:S61"/>
    <mergeCell ref="O62:S62"/>
    <mergeCell ref="O63:S63"/>
    <mergeCell ref="O54:S54"/>
    <mergeCell ref="O55:S55"/>
    <mergeCell ref="O56:S56"/>
    <mergeCell ref="O57:S57"/>
    <mergeCell ref="O58:S58"/>
    <mergeCell ref="O49:S49"/>
    <mergeCell ref="O50:S50"/>
    <mergeCell ref="O51:S51"/>
    <mergeCell ref="O52:S52"/>
    <mergeCell ref="O53:S53"/>
    <mergeCell ref="O44:S44"/>
    <mergeCell ref="O45:S45"/>
    <mergeCell ref="O46:S46"/>
    <mergeCell ref="O47:S47"/>
    <mergeCell ref="O48:S48"/>
    <mergeCell ref="O39:S39"/>
    <mergeCell ref="O40:S40"/>
    <mergeCell ref="O41:S41"/>
    <mergeCell ref="O42:S42"/>
    <mergeCell ref="O43:S43"/>
    <mergeCell ref="O35:S35"/>
    <mergeCell ref="O36:S36"/>
    <mergeCell ref="O37:S37"/>
    <mergeCell ref="O38:S38"/>
    <mergeCell ref="O29:S29"/>
    <mergeCell ref="O30:S30"/>
    <mergeCell ref="O31:S31"/>
    <mergeCell ref="O32:S32"/>
    <mergeCell ref="O33:S33"/>
    <mergeCell ref="O26:S26"/>
    <mergeCell ref="O27:S27"/>
    <mergeCell ref="O28:S28"/>
    <mergeCell ref="O19:S19"/>
    <mergeCell ref="O20:S20"/>
    <mergeCell ref="O21:S21"/>
    <mergeCell ref="O22:S22"/>
    <mergeCell ref="O23:S23"/>
    <mergeCell ref="O34:S34"/>
    <mergeCell ref="O17:S17"/>
    <mergeCell ref="O18:S18"/>
    <mergeCell ref="O9:S9"/>
    <mergeCell ref="O10:S10"/>
    <mergeCell ref="O11:S11"/>
    <mergeCell ref="O12:S12"/>
    <mergeCell ref="O13:S13"/>
    <mergeCell ref="O24:S24"/>
    <mergeCell ref="O25:S25"/>
    <mergeCell ref="A2:B2"/>
    <mergeCell ref="A3:B3"/>
    <mergeCell ref="C1:O1"/>
    <mergeCell ref="O6:S6"/>
    <mergeCell ref="O7:S7"/>
    <mergeCell ref="O8:S8"/>
    <mergeCell ref="O14:S14"/>
    <mergeCell ref="O15:S15"/>
    <mergeCell ref="O16:S16"/>
  </mergeCells>
  <phoneticPr fontId="1" type="noConversion"/>
  <conditionalFormatting sqref="I7:I112">
    <cfRule type="top10" dxfId="11" priority="11" bottom="1" rank="1"/>
    <cfRule type="top10" dxfId="10" priority="12" rank="1"/>
  </conditionalFormatting>
  <conditionalFormatting sqref="E7:E85">
    <cfRule type="top10" dxfId="9" priority="9" bottom="1" rank="1"/>
    <cfRule type="top10" dxfId="8" priority="10" rank="1"/>
  </conditionalFormatting>
  <conditionalFormatting sqref="H7:H112">
    <cfRule type="top10" dxfId="7" priority="7" bottom="1" rank="1"/>
    <cfRule type="top10" dxfId="6" priority="8" rank="1"/>
  </conditionalFormatting>
  <conditionalFormatting sqref="N7:N112">
    <cfRule type="top10" dxfId="5" priority="5" rank="1"/>
    <cfRule type="top10" dxfId="4" priority="6" bottom="1" rank="1"/>
  </conditionalFormatting>
  <conditionalFormatting sqref="B7:B112">
    <cfRule type="top10" dxfId="3" priority="3" bottom="1" rank="1"/>
    <cfRule type="top10" dxfId="2" priority="4" rank="1"/>
  </conditionalFormatting>
  <conditionalFormatting sqref="A7:A112">
    <cfRule type="top10" dxfId="1" priority="1" bottom="1" rank="1"/>
    <cfRule type="top10" dxfId="0" priority="2" rank="1"/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2</vt:i4>
      </vt:variant>
    </vt:vector>
  </HeadingPairs>
  <TitlesOfParts>
    <vt:vector size="5" baseType="lpstr">
      <vt:lpstr>汽車vs機車</vt:lpstr>
      <vt:lpstr>機車加油記錄</vt:lpstr>
      <vt:lpstr>汽車加油記錄</vt:lpstr>
      <vt:lpstr>機車油耗趨勢</vt:lpstr>
      <vt:lpstr>汽車油耗趨勢</vt:lpstr>
    </vt:vector>
  </TitlesOfParts>
  <Company>GENUINE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JC,PMP</dc:creator>
  <cp:lastModifiedBy>Jeric Chen</cp:lastModifiedBy>
  <cp:revision>1</cp:revision>
  <cp:lastPrinted>2008-12-03T09:32:21Z</cp:lastPrinted>
  <dcterms:created xsi:type="dcterms:W3CDTF">2008-06-16T06:21:15Z</dcterms:created>
  <dcterms:modified xsi:type="dcterms:W3CDTF">2010-05-07T02:31:22Z</dcterms:modified>
</cp:coreProperties>
</file>